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U3A Treasurer\Reports 2018\"/>
    </mc:Choice>
  </mc:AlternateContent>
  <xr:revisionPtr revIDLastSave="0" documentId="8_{0F4781CB-A3FD-4193-B077-C71611BFCAEE}" xr6:coauthVersionLast="33" xr6:coauthVersionMax="33" xr10:uidLastSave="{00000000-0000-0000-0000-000000000000}"/>
  <bookViews>
    <workbookView xWindow="0" yWindow="0" windowWidth="20490" windowHeight="6945" xr2:uid="{30EBEF84-5413-45A8-A7B9-5303D996701D}"/>
  </bookViews>
  <sheets>
    <sheet name="Costs" sheetId="3" r:id="rId1"/>
    <sheet name="Cashbook" sheetId="2" r:id="rId2"/>
    <sheet name="Income" sheetId="1" r:id="rId3"/>
  </sheets>
  <externalReferences>
    <externalReference r:id="rId4"/>
  </externalReferences>
  <definedNames>
    <definedName name="_xlnm.Print_Area" localSheetId="1">Cashbook!$C$3:$M$72</definedName>
    <definedName name="_xlnm.Print_Area" localSheetId="0">Costs!$C$1:$N$36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3" l="1"/>
  <c r="J32" i="3"/>
  <c r="J31" i="3"/>
  <c r="F31" i="3"/>
  <c r="K30" i="3"/>
  <c r="J30" i="3"/>
  <c r="J29" i="3"/>
  <c r="K28" i="3"/>
  <c r="J28" i="3"/>
  <c r="F28" i="3"/>
  <c r="J27" i="3"/>
  <c r="F27" i="3"/>
  <c r="K26" i="3"/>
  <c r="F26" i="3"/>
  <c r="J26" i="3" s="1"/>
  <c r="K25" i="3"/>
  <c r="J25" i="3"/>
  <c r="F25" i="3"/>
  <c r="K24" i="3"/>
  <c r="K33" i="3" s="1"/>
  <c r="F24" i="3"/>
  <c r="F33" i="3" s="1"/>
  <c r="K20" i="3"/>
  <c r="K19" i="3"/>
  <c r="K18" i="3"/>
  <c r="K17" i="3"/>
  <c r="F17" i="3"/>
  <c r="J17" i="3" s="1"/>
  <c r="K16" i="3"/>
  <c r="J16" i="3"/>
  <c r="K15" i="3"/>
  <c r="J15" i="3"/>
  <c r="F15" i="3"/>
  <c r="J14" i="3"/>
  <c r="F14" i="3"/>
  <c r="K13" i="3"/>
  <c r="F13" i="3"/>
  <c r="J13" i="3" s="1"/>
  <c r="K12" i="3"/>
  <c r="J12" i="3"/>
  <c r="F12" i="3"/>
  <c r="J11" i="3"/>
  <c r="J10" i="3"/>
  <c r="J9" i="3"/>
  <c r="F8" i="3"/>
  <c r="J8" i="3" s="1"/>
  <c r="K7" i="3"/>
  <c r="E7" i="3"/>
  <c r="F7" i="3" s="1"/>
  <c r="J7" i="3" s="1"/>
  <c r="K6" i="3"/>
  <c r="J6" i="3"/>
  <c r="F6" i="3"/>
  <c r="K5" i="3"/>
  <c r="K21" i="3" s="1"/>
  <c r="K35" i="3" s="1"/>
  <c r="F5" i="3"/>
  <c r="F21" i="3" l="1"/>
  <c r="F35" i="3" s="1"/>
  <c r="E21" i="3"/>
  <c r="E35" i="3" s="1"/>
  <c r="J5" i="3"/>
  <c r="J21" i="3" s="1"/>
  <c r="J24" i="3"/>
  <c r="J33" i="3" s="1"/>
  <c r="J35" i="3" l="1"/>
  <c r="K67" i="2" l="1"/>
  <c r="K68" i="2" s="1"/>
  <c r="K64" i="2"/>
  <c r="D64" i="2"/>
  <c r="F64" i="2" s="1"/>
  <c r="K65" i="2" s="1"/>
  <c r="D62" i="2"/>
  <c r="D61" i="2"/>
  <c r="M58" i="2"/>
  <c r="M61" i="2" s="1"/>
  <c r="M57" i="2"/>
  <c r="L57" i="2"/>
  <c r="K42" i="2"/>
  <c r="D51" i="2" s="1"/>
  <c r="H12" i="2"/>
  <c r="H10" i="2"/>
  <c r="H9" i="2"/>
  <c r="H8" i="2"/>
  <c r="H7" i="2"/>
  <c r="H6" i="2"/>
  <c r="H14" i="2" s="1"/>
  <c r="D48" i="2" s="1"/>
  <c r="D52" i="2" s="1"/>
  <c r="O18" i="1" l="1"/>
  <c r="I18" i="1"/>
  <c r="G18" i="1"/>
  <c r="O17" i="1"/>
  <c r="L17" i="1"/>
  <c r="K17" i="1"/>
  <c r="I17" i="1"/>
  <c r="H17" i="1"/>
  <c r="G17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P8" i="1"/>
  <c r="F8" i="1" s="1"/>
  <c r="E8" i="1"/>
  <c r="P7" i="1"/>
  <c r="F7" i="1"/>
  <c r="E7" i="1"/>
  <c r="P6" i="1"/>
  <c r="F6" i="1" s="1"/>
  <c r="E6" i="1"/>
  <c r="F5" i="1"/>
  <c r="E5" i="1"/>
  <c r="P4" i="1"/>
  <c r="P17" i="1" s="1"/>
  <c r="J4" i="1"/>
  <c r="J17" i="1" s="1"/>
  <c r="E4" i="1"/>
  <c r="E18" i="1" s="1"/>
  <c r="F4" i="1" l="1"/>
  <c r="F17" i="1" s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K13" authorId="0" shapeId="0" xr:uid="{DD693058-B02A-4343-96D9-8FFFF59A252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Seniors Festival
Mogo Bus Trip
</t>
        </r>
      </text>
    </comment>
    <comment ref="K16" authorId="0" shapeId="0" xr:uid="{73852D89-095F-4C8C-803A-A846E4B0A6B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banner
card tables
</t>
        </r>
      </text>
    </comment>
    <comment ref="K17" authorId="0" shapeId="0" xr:uid="{CE350908-E27F-4BD1-AD59-195F760FD34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power Board
flash drives
Movie Tickets
Fair Trading Fee
Banner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P4" authorId="0" shapeId="0" xr:uid="{C554C1D9-4095-48DD-A08C-39F6A26462D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Christmas Lunch, Grant. Interest</t>
        </r>
      </text>
    </comment>
    <comment ref="P6" authorId="0" shapeId="0" xr:uid="{AF02A4FE-BECD-4570-B45E-417BE1FA6E54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Seniors Festival grant $900
</t>
        </r>
      </text>
    </comment>
    <comment ref="P8" authorId="0" shapeId="0" xr:uid="{E9254AD4-9DFE-4F7E-A3D7-7413CED50A0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Bus trip, interest</t>
        </r>
      </text>
    </comment>
  </commentList>
</comments>
</file>

<file path=xl/sharedStrings.xml><?xml version="1.0" encoding="utf-8"?>
<sst xmlns="http://schemas.openxmlformats.org/spreadsheetml/2006/main" count="159" uniqueCount="117">
  <si>
    <t>Total Receipts</t>
  </si>
  <si>
    <t>Membership</t>
  </si>
  <si>
    <t>TBC Usage</t>
  </si>
  <si>
    <t>Bega Usage</t>
  </si>
  <si>
    <t>Library Usage</t>
  </si>
  <si>
    <t>Other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</si>
  <si>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</si>
  <si>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</si>
  <si>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</si>
  <si>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</si>
  <si>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</si>
  <si>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</si>
  <si>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</si>
  <si>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</si>
  <si>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</si>
  <si>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</si>
  <si>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</si>
  <si>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</si>
  <si>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to date</t>
  </si>
  <si>
    <t>Full Year</t>
  </si>
  <si>
    <t xml:space="preserve">U3A Sapphire Coast Treasurer's Report  </t>
  </si>
  <si>
    <t>April</t>
  </si>
  <si>
    <t>Date</t>
  </si>
  <si>
    <t>Detail</t>
  </si>
  <si>
    <t>Amount</t>
  </si>
  <si>
    <t>Income</t>
  </si>
  <si>
    <t>Bega Venue Hire</t>
  </si>
  <si>
    <t>U3A Tura Venue Hire</t>
  </si>
  <si>
    <t>Tura Library Venue Hire</t>
  </si>
  <si>
    <t>Bank Interest</t>
  </si>
  <si>
    <t>Transfer from Interest Bearing Account</t>
  </si>
  <si>
    <t>Bus Trip</t>
  </si>
  <si>
    <t>Expenditure</t>
  </si>
  <si>
    <t>Payee</t>
  </si>
  <si>
    <t>Chq No</t>
  </si>
  <si>
    <t>F Dwyer</t>
  </si>
  <si>
    <t>Reimburse mobile phone, movies, paper</t>
  </si>
  <si>
    <t>O/L</t>
  </si>
  <si>
    <t>Old Bega Hospital Trust</t>
  </si>
  <si>
    <t>Venue Rental</t>
  </si>
  <si>
    <t>B Perry</t>
  </si>
  <si>
    <t>Reimburse stamps, ink</t>
  </si>
  <si>
    <t>Lou's Cleaning</t>
  </si>
  <si>
    <t>Cleaning</t>
  </si>
  <si>
    <t>Matanuska</t>
  </si>
  <si>
    <t>Rent 29.4.18 - 26.5.18</t>
  </si>
  <si>
    <t>Strata Plan Proprietors</t>
  </si>
  <si>
    <t>Water Usage</t>
  </si>
  <si>
    <t>Telstra</t>
  </si>
  <si>
    <t>Internet</t>
  </si>
  <si>
    <t>Bega Valley Coaches</t>
  </si>
  <si>
    <t>Bega Valley Shire Council</t>
  </si>
  <si>
    <t>Venue Rental - Library</t>
  </si>
  <si>
    <t>Bega Funhouse</t>
  </si>
  <si>
    <t>Reimburse folders, ink</t>
  </si>
  <si>
    <t>Origin</t>
  </si>
  <si>
    <t>Electricity</t>
  </si>
  <si>
    <t>BVSC</t>
  </si>
  <si>
    <t>Rates</t>
  </si>
  <si>
    <t>Amee Ingram</t>
  </si>
  <si>
    <t>Mogo Zoo</t>
  </si>
  <si>
    <t>Margaret Evans</t>
  </si>
  <si>
    <t>Reimburse refreshments bus trip</t>
  </si>
  <si>
    <t>Carolyn Smith</t>
  </si>
  <si>
    <t>Reimburse Fair Trading lodgement fee</t>
  </si>
  <si>
    <t>Carbon Copy</t>
  </si>
  <si>
    <t>Print brochures</t>
  </si>
  <si>
    <t>Rent 27.5.18 - 30.6.18</t>
  </si>
  <si>
    <t>Wilson Signs</t>
  </si>
  <si>
    <t>Banner</t>
  </si>
  <si>
    <t>Total Payments</t>
  </si>
  <si>
    <t>Bank Reconciliation</t>
  </si>
  <si>
    <t xml:space="preserve">Cashbook opening balance </t>
  </si>
  <si>
    <t>Transfer</t>
  </si>
  <si>
    <t>Horizon C.A.</t>
  </si>
  <si>
    <t xml:space="preserve">Plus income </t>
  </si>
  <si>
    <t>less U/P chqs</t>
  </si>
  <si>
    <t>Less expenditure</t>
  </si>
  <si>
    <t>Statement of Current Assets</t>
  </si>
  <si>
    <t>Horizon C/A</t>
  </si>
  <si>
    <t>Horizon O/L</t>
  </si>
  <si>
    <t>Horizon TD</t>
  </si>
  <si>
    <t>Bendigo TD</t>
  </si>
  <si>
    <t>U/P cheques</t>
  </si>
  <si>
    <t>Compared to last month</t>
  </si>
  <si>
    <t>Net gain/loss</t>
  </si>
  <si>
    <t>Compared to last year</t>
  </si>
  <si>
    <t>Budget</t>
  </si>
  <si>
    <t xml:space="preserve">Actual </t>
  </si>
  <si>
    <t xml:space="preserve">Year to date </t>
  </si>
  <si>
    <t>Administrative Expenses</t>
  </si>
  <si>
    <t>CPI 1.9%</t>
  </si>
  <si>
    <t>Postage/PO Box</t>
  </si>
  <si>
    <t>Stationery &amp; Printing</t>
  </si>
  <si>
    <t>NSW U3A Network /MyU3A fees</t>
  </si>
  <si>
    <t>Insurances</t>
  </si>
  <si>
    <t>Newspapers</t>
  </si>
  <si>
    <t>Advertising</t>
  </si>
  <si>
    <t>Audit</t>
  </si>
  <si>
    <t>External catering &amp; Room Hire</t>
  </si>
  <si>
    <t>One off events</t>
  </si>
  <si>
    <t>NSW Network Conference</t>
  </si>
  <si>
    <t>Membership Refunds</t>
  </si>
  <si>
    <t>Asset Purchases</t>
  </si>
  <si>
    <t>Misc.</t>
  </si>
  <si>
    <t>Bega Venues</t>
  </si>
  <si>
    <t>Library Venue Hire</t>
  </si>
  <si>
    <t>Mobile Phone</t>
  </si>
  <si>
    <t>Total Admin Expenses</t>
  </si>
  <si>
    <t>U3A Centre Tura Beach Expenses</t>
  </si>
  <si>
    <t>Rates/Water/Electricity</t>
  </si>
  <si>
    <t>Rent</t>
  </si>
  <si>
    <t>Insurance</t>
  </si>
  <si>
    <t>Petty Cash</t>
  </si>
  <si>
    <t>Maintenance</t>
  </si>
  <si>
    <t>Total Tura Centre Expenses</t>
  </si>
  <si>
    <t>Grand 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</si>
</sst>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2" fontId="0" fillId="0" borderId="0" xfId="0" applyNumberFormat="1"/>
    <xf numFmtId="2" fontId="4" fillId="0" borderId="0" xfId="0" applyNumberFormat="1" applyFont="1"/>
    <xf numFmtId="2" fontId="5" fillId="0" borderId="0" xfId="0" applyNumberFormat="1" applyFont="1"/>
    <xf numFmtId="0" fontId="1" fillId="0" borderId="0" xfId="0" applyFont="1"/>
    <xf numFmtId="17" fontId="0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11" fillId="0" borderId="0" xfId="0" applyFont="1"/>
    <xf numFmtId="0" fontId="0" fillId="0" borderId="0" xfId="0" applyFont="1"/>
    <xf numFmtId="2" fontId="1" fillId="0" borderId="0" xfId="0" applyNumberFormat="1" applyFont="1" applyFill="1"/>
    <xf numFmtId="14" fontId="1" fillId="0" borderId="0" xfId="0" applyNumberFormat="1" applyFont="1" applyFill="1"/>
    <xf numFmtId="0" fontId="0" fillId="0" borderId="0" xfId="0" quotePrefix="1" applyFont="1" applyFill="1"/>
    <xf numFmtId="0" fontId="1" fillId="0" borderId="0" xfId="0" applyFont="1" applyFill="1"/>
    <xf numFmtId="2" fontId="0" fillId="0" borderId="0" xfId="0" applyNumberFormat="1" applyFont="1" applyFill="1"/>
    <xf numFmtId="0" fontId="0" fillId="0" borderId="0" xfId="0" applyFont="1" applyFill="1"/>
    <xf numFmtId="0" fontId="0" fillId="0" borderId="0" xfId="0" quotePrefix="1" applyFont="1" applyFill="1" applyAlignment="1">
      <alignment horizontal="left"/>
    </xf>
    <xf numFmtId="4" fontId="1" fillId="0" borderId="0" xfId="0" applyNumberFormat="1" applyFont="1" applyFill="1"/>
    <xf numFmtId="0" fontId="0" fillId="0" borderId="0" xfId="0" quotePrefix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2" fontId="0" fillId="0" borderId="0" xfId="0" applyNumberFormat="1" applyFill="1"/>
    <xf numFmtId="14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/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/>
    <xf numFmtId="2" fontId="1" fillId="0" borderId="0" xfId="0" applyNumberFormat="1" applyFont="1"/>
    <xf numFmtId="4" fontId="1" fillId="0" borderId="0" xfId="0" applyNumberFormat="1" applyFont="1"/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Border="1"/>
    <xf numFmtId="4" fontId="12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1" fillId="0" borderId="0" xfId="0" applyNumberFormat="1" applyFont="1" applyBorder="1"/>
    <xf numFmtId="0" fontId="2" fillId="0" borderId="0" xfId="0" applyFont="1"/>
    <xf numFmtId="2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4" fontId="1" fillId="2" borderId="0" xfId="0" applyNumberFormat="1" applyFont="1" applyFill="1"/>
    <xf numFmtId="4" fontId="5" fillId="2" borderId="1" xfId="0" applyNumberFormat="1" applyFont="1" applyFill="1" applyBorder="1"/>
    <xf numFmtId="0" fontId="5" fillId="2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0" fillId="0" borderId="0" xfId="0" quotePrefix="1" applyFont="1"/>
    <xf numFmtId="14" fontId="13" fillId="2" borderId="0" xfId="0" applyNumberFormat="1" applyFont="1" applyFill="1"/>
    <xf numFmtId="2" fontId="0" fillId="0" borderId="0" xfId="0" applyNumberFormat="1" applyAlignment="1">
      <alignment horizontal="center"/>
    </xf>
    <xf numFmtId="2" fontId="15" fillId="0" borderId="0" xfId="1" applyNumberFormat="1" applyFont="1" applyAlignment="1" applyProtection="1"/>
    <xf numFmtId="0" fontId="0" fillId="0" borderId="0" xfId="0" applyBorder="1"/>
    <xf numFmtId="2" fontId="0" fillId="0" borderId="0" xfId="0" applyNumberFormat="1" applyBorder="1"/>
    <xf numFmtId="0" fontId="16" fillId="0" borderId="0" xfId="0" applyFont="1" applyBorder="1"/>
    <xf numFmtId="0" fontId="3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63</xdr:row>
      <xdr:rowOff>114300</xdr:rowOff>
    </xdr:from>
    <xdr:to>
      <xdr:col>4</xdr:col>
      <xdr:colOff>2390775</xdr:colOff>
      <xdr:row>65</xdr:row>
      <xdr:rowOff>133350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96597C1C-3620-4A06-9CAB-6C130EB2FACB}"/>
            </a:ext>
          </a:extLst>
        </xdr:cNvPr>
        <xdr:cNvCxnSpPr/>
      </xdr:nvCxnSpPr>
      <xdr:spPr>
        <a:xfrm>
          <a:off x="3848100" y="12115800"/>
          <a:ext cx="2371725" cy="4000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esktop/U3A%20Treasurer/Cash%20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ummary"/>
      <sheetName val="Payment Summary"/>
      <sheetName val="Mar 16"/>
      <sheetName val="Apr 16"/>
      <sheetName val="May 16"/>
      <sheetName val="June"/>
      <sheetName val="July"/>
      <sheetName val="Aug"/>
      <sheetName val="September"/>
      <sheetName val="October"/>
      <sheetName val="November"/>
      <sheetName val="Nov Detailed"/>
      <sheetName val="December detailed"/>
      <sheetName val="December"/>
      <sheetName val="January Detaikled"/>
      <sheetName val="January summary"/>
      <sheetName val="February detailed"/>
      <sheetName val="February Summary"/>
      <sheetName val="March Detailed"/>
      <sheetName val="March Summary"/>
      <sheetName val="April Detailed"/>
      <sheetName val="April Summary"/>
      <sheetName val="May detailed"/>
      <sheetName val="May summary"/>
      <sheetName val="June detailed"/>
      <sheetName val="June Summary"/>
      <sheetName val="JulyDetailed"/>
      <sheetName val="July Summary"/>
      <sheetName val="August Detailed"/>
      <sheetName val="August Summary"/>
      <sheetName val="September Detailed"/>
      <sheetName val="September Summary"/>
      <sheetName val="October DEtailed"/>
      <sheetName val="October Summary"/>
      <sheetName val="November Detailed"/>
      <sheetName val="November Summary"/>
      <sheetName val="December 17 Detailed"/>
      <sheetName val="December 17 Summary"/>
      <sheetName val="January 2018 detaled"/>
      <sheetName val="January 2018 Summary"/>
      <sheetName val="February 2018 detaled "/>
      <sheetName val="February 2018 Summary"/>
      <sheetName val="March 2018 detaled  "/>
      <sheetName val="March 2018 Summary"/>
      <sheetName val="April 2018 DEtailed"/>
      <sheetName val="April 2018 Summary"/>
      <sheetName val="May 2018 Detailed"/>
      <sheetName val="May 2018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0">
          <cell r="D60">
            <v>60619.47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61">
          <cell r="F61">
            <v>60435.540000000008</v>
          </cell>
        </row>
      </sheetData>
      <sheetData sheetId="46">
        <row r="6">
          <cell r="H6">
            <v>7.5</v>
          </cell>
        </row>
        <row r="7">
          <cell r="H7">
            <v>43</v>
          </cell>
        </row>
        <row r="8">
          <cell r="H8">
            <v>45</v>
          </cell>
        </row>
        <row r="9">
          <cell r="H9">
            <v>21</v>
          </cell>
        </row>
        <row r="10">
          <cell r="H10">
            <v>15</v>
          </cell>
        </row>
        <row r="11">
          <cell r="H11">
            <v>48.1</v>
          </cell>
        </row>
        <row r="12">
          <cell r="H12">
            <v>20</v>
          </cell>
        </row>
        <row r="13">
          <cell r="H13">
            <v>25</v>
          </cell>
        </row>
        <row r="14">
          <cell r="H14">
            <v>1200</v>
          </cell>
        </row>
        <row r="16">
          <cell r="H16">
            <v>20</v>
          </cell>
        </row>
        <row r="17">
          <cell r="H17">
            <v>264</v>
          </cell>
        </row>
        <row r="18">
          <cell r="H18">
            <v>105</v>
          </cell>
        </row>
        <row r="19">
          <cell r="H19">
            <v>50</v>
          </cell>
        </row>
        <row r="20">
          <cell r="H20">
            <v>66</v>
          </cell>
        </row>
        <row r="21">
          <cell r="H21">
            <v>24</v>
          </cell>
        </row>
        <row r="22">
          <cell r="H22">
            <v>36</v>
          </cell>
        </row>
        <row r="23">
          <cell r="H23">
            <v>24</v>
          </cell>
        </row>
        <row r="24">
          <cell r="H24">
            <v>303</v>
          </cell>
        </row>
        <row r="25">
          <cell r="H25">
            <v>48</v>
          </cell>
        </row>
        <row r="26">
          <cell r="H26">
            <v>288</v>
          </cell>
        </row>
        <row r="27">
          <cell r="H27">
            <v>24.05</v>
          </cell>
        </row>
        <row r="28">
          <cell r="H28">
            <v>48.1</v>
          </cell>
        </row>
        <row r="29">
          <cell r="H29">
            <v>966.61</v>
          </cell>
        </row>
        <row r="30">
          <cell r="H30">
            <v>25</v>
          </cell>
        </row>
        <row r="31">
          <cell r="H31">
            <v>18</v>
          </cell>
        </row>
        <row r="32">
          <cell r="H32">
            <v>20</v>
          </cell>
        </row>
        <row r="33">
          <cell r="H33">
            <v>30.05</v>
          </cell>
        </row>
        <row r="34">
          <cell r="H34">
            <v>27</v>
          </cell>
        </row>
        <row r="35">
          <cell r="H35">
            <v>54</v>
          </cell>
        </row>
        <row r="36">
          <cell r="H36">
            <v>75</v>
          </cell>
        </row>
        <row r="37">
          <cell r="H37">
            <v>24.05</v>
          </cell>
        </row>
        <row r="38">
          <cell r="H38">
            <v>45</v>
          </cell>
        </row>
        <row r="39">
          <cell r="H39">
            <v>87</v>
          </cell>
        </row>
        <row r="40">
          <cell r="H40">
            <v>25</v>
          </cell>
        </row>
        <row r="41">
          <cell r="H41">
            <v>22.1</v>
          </cell>
        </row>
        <row r="42">
          <cell r="H42">
            <v>27</v>
          </cell>
        </row>
        <row r="43">
          <cell r="H43">
            <v>69</v>
          </cell>
        </row>
        <row r="44">
          <cell r="H44">
            <v>21</v>
          </cell>
        </row>
        <row r="45">
          <cell r="H45">
            <v>21</v>
          </cell>
        </row>
        <row r="46">
          <cell r="H46">
            <v>0.04</v>
          </cell>
        </row>
      </sheetData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FCCEF-C7F1-4A48-BCE1-12414F37BF86}">
  <sheetPr>
    <pageSetUpPr fitToPage="1"/>
  </sheetPr>
  <dimension ref="C1:O42"/>
  <sheetViews>
    <sheetView tabSelected="1" topLeftCell="B19" workbookViewId="0">
      <selection activeCell="K22" sqref="K22"/>
    </sheetView>
  </sheetViews>
  <sheetFormatPr defaultRowHeight="15" x14ac:dyDescent="0.25"/>
  <cols>
    <col min="3" max="3" width="30" bestFit="1" customWidth="1"/>
    <col min="10" max="10" width="12" bestFit="1" customWidth="1"/>
    <col min="11" max="11" width="11.5703125" bestFit="1" customWidth="1"/>
  </cols>
  <sheetData>
    <row r="1" spans="3:15" x14ac:dyDescent="0.25">
      <c r="K1" s="57">
        <v>43251</v>
      </c>
    </row>
    <row r="2" spans="3:15" x14ac:dyDescent="0.25">
      <c r="F2" s="1" t="s">
        <v>19</v>
      </c>
      <c r="J2" s="1" t="s">
        <v>87</v>
      </c>
      <c r="K2" s="1" t="s">
        <v>88</v>
      </c>
    </row>
    <row r="3" spans="3:15" x14ac:dyDescent="0.25">
      <c r="E3">
        <v>2017</v>
      </c>
      <c r="F3">
        <v>2018</v>
      </c>
      <c r="J3" s="1" t="s">
        <v>89</v>
      </c>
      <c r="K3" s="1" t="s">
        <v>18</v>
      </c>
    </row>
    <row r="4" spans="3:15" x14ac:dyDescent="0.25">
      <c r="C4" s="44" t="s">
        <v>90</v>
      </c>
      <c r="D4" s="44"/>
      <c r="E4" s="7"/>
      <c r="F4" s="58" t="s">
        <v>91</v>
      </c>
      <c r="G4" s="7"/>
      <c r="H4" s="7"/>
      <c r="I4" s="7"/>
      <c r="J4" s="7"/>
      <c r="K4" s="7"/>
    </row>
    <row r="5" spans="3:15" x14ac:dyDescent="0.25">
      <c r="C5" t="s">
        <v>92</v>
      </c>
      <c r="E5" s="7">
        <v>542.05999999999995</v>
      </c>
      <c r="F5" s="7">
        <f>E5*1.019</f>
        <v>552.35913999999991</v>
      </c>
      <c r="G5" s="7"/>
      <c r="H5" s="7"/>
      <c r="I5" s="7"/>
      <c r="J5" s="7">
        <f>F5/12*5</f>
        <v>230.14964166666661</v>
      </c>
      <c r="K5" s="7">
        <f>57+127+50+50</f>
        <v>284</v>
      </c>
      <c r="O5" s="7"/>
    </row>
    <row r="6" spans="3:15" x14ac:dyDescent="0.25">
      <c r="C6" t="s">
        <v>93</v>
      </c>
      <c r="E6" s="7">
        <v>787.93</v>
      </c>
      <c r="F6" s="7">
        <f t="shared" ref="F6:F8" si="0">E6*1.019</f>
        <v>802.90066999999988</v>
      </c>
      <c r="G6" s="7"/>
      <c r="H6" s="7"/>
      <c r="I6" s="7"/>
      <c r="J6" s="7">
        <f t="shared" ref="J6:J17" si="1">F6/12*5</f>
        <v>334.54194583333327</v>
      </c>
      <c r="K6" s="7">
        <f>15+181.4+9+107.5+41.8+8.9+22+56.25+11+11+15+99.1+880</f>
        <v>1457.9499999999998</v>
      </c>
      <c r="O6" s="7"/>
    </row>
    <row r="7" spans="3:15" x14ac:dyDescent="0.25">
      <c r="C7" t="s">
        <v>94</v>
      </c>
      <c r="E7" s="7">
        <f>894.9-249.5</f>
        <v>645.4</v>
      </c>
      <c r="F7" s="7">
        <f t="shared" si="0"/>
        <v>657.66259999999988</v>
      </c>
      <c r="G7" s="7"/>
      <c r="H7" s="7"/>
      <c r="I7" s="7"/>
      <c r="J7" s="7">
        <f t="shared" si="1"/>
        <v>274.0260833333333</v>
      </c>
      <c r="K7" s="7">
        <f>563.5+99.8</f>
        <v>663.3</v>
      </c>
      <c r="O7" s="7"/>
    </row>
    <row r="8" spans="3:15" x14ac:dyDescent="0.25">
      <c r="C8" t="s">
        <v>95</v>
      </c>
      <c r="E8" s="7">
        <v>249.5</v>
      </c>
      <c r="F8" s="7">
        <f t="shared" si="0"/>
        <v>254.24049999999997</v>
      </c>
      <c r="G8" s="7"/>
      <c r="H8" s="7"/>
      <c r="I8" s="7"/>
      <c r="J8" s="7">
        <f t="shared" si="1"/>
        <v>105.93354166666666</v>
      </c>
      <c r="K8" s="7"/>
      <c r="O8" s="7"/>
    </row>
    <row r="9" spans="3:15" x14ac:dyDescent="0.25">
      <c r="C9" t="s">
        <v>96</v>
      </c>
      <c r="E9" s="7"/>
      <c r="F9" s="7"/>
      <c r="G9" s="7"/>
      <c r="H9" s="7"/>
      <c r="I9" s="7"/>
      <c r="J9" s="7">
        <f t="shared" si="1"/>
        <v>0</v>
      </c>
      <c r="K9" s="7"/>
      <c r="O9" s="7"/>
    </row>
    <row r="10" spans="3:15" x14ac:dyDescent="0.25">
      <c r="C10" t="s">
        <v>97</v>
      </c>
      <c r="E10" s="7"/>
      <c r="F10" s="7"/>
      <c r="G10" s="7"/>
      <c r="H10" s="7"/>
      <c r="I10" s="7"/>
      <c r="J10" s="7">
        <f t="shared" si="1"/>
        <v>0</v>
      </c>
      <c r="K10" s="7"/>
      <c r="O10" s="7"/>
    </row>
    <row r="11" spans="3:15" x14ac:dyDescent="0.25">
      <c r="C11" t="s">
        <v>98</v>
      </c>
      <c r="E11" s="7"/>
      <c r="F11" s="7"/>
      <c r="G11" s="7"/>
      <c r="H11" s="7"/>
      <c r="I11" s="7"/>
      <c r="J11" s="7">
        <f t="shared" si="1"/>
        <v>0</v>
      </c>
      <c r="K11" s="7">
        <v>880</v>
      </c>
      <c r="O11" s="7"/>
    </row>
    <row r="12" spans="3:15" x14ac:dyDescent="0.25">
      <c r="C12" t="s">
        <v>99</v>
      </c>
      <c r="E12" s="7">
        <v>779.26</v>
      </c>
      <c r="F12" s="7">
        <f t="shared" ref="F12:F15" si="2">E12*1.019</f>
        <v>794.06593999999996</v>
      </c>
      <c r="G12" s="7"/>
      <c r="H12" s="7"/>
      <c r="I12" s="7"/>
      <c r="J12" s="7">
        <f t="shared" si="1"/>
        <v>330.86080833333335</v>
      </c>
      <c r="K12" s="7">
        <f>10.9+248.83+19.03+416.4+485+30</f>
        <v>1210.1599999999999</v>
      </c>
      <c r="O12" s="7"/>
    </row>
    <row r="13" spans="3:15" x14ac:dyDescent="0.25">
      <c r="C13" t="s">
        <v>100</v>
      </c>
      <c r="E13" s="7">
        <v>6709.95</v>
      </c>
      <c r="F13" s="7">
        <f t="shared" si="2"/>
        <v>6837.439049999999</v>
      </c>
      <c r="G13" s="7"/>
      <c r="H13" s="7"/>
      <c r="I13" s="7"/>
      <c r="J13" s="7">
        <f t="shared" si="1"/>
        <v>2848.9329374999993</v>
      </c>
      <c r="K13" s="7">
        <f>990+1200+820+57</f>
        <v>3067</v>
      </c>
      <c r="O13" s="7"/>
    </row>
    <row r="14" spans="3:15" x14ac:dyDescent="0.25">
      <c r="C14" t="s">
        <v>101</v>
      </c>
      <c r="E14" s="7">
        <v>1000</v>
      </c>
      <c r="F14" s="7">
        <f t="shared" si="2"/>
        <v>1018.9999999999999</v>
      </c>
      <c r="G14" s="7"/>
      <c r="H14" s="7"/>
      <c r="I14" s="7"/>
      <c r="J14" s="7">
        <f t="shared" si="1"/>
        <v>424.58333333333326</v>
      </c>
      <c r="K14" s="7"/>
      <c r="O14" s="7"/>
    </row>
    <row r="15" spans="3:15" x14ac:dyDescent="0.25">
      <c r="C15" t="s">
        <v>102</v>
      </c>
      <c r="E15" s="7">
        <v>170</v>
      </c>
      <c r="F15" s="7">
        <f t="shared" si="2"/>
        <v>173.23</v>
      </c>
      <c r="G15" s="7"/>
      <c r="H15" s="7"/>
      <c r="I15" s="7"/>
      <c r="J15" s="7">
        <f t="shared" si="1"/>
        <v>72.17916666666666</v>
      </c>
      <c r="K15" s="7">
        <f>5+5+25+25</f>
        <v>60</v>
      </c>
      <c r="O15" s="7"/>
    </row>
    <row r="16" spans="3:15" x14ac:dyDescent="0.25">
      <c r="C16" t="s">
        <v>103</v>
      </c>
      <c r="E16" s="7"/>
      <c r="F16" s="7"/>
      <c r="G16" s="7"/>
      <c r="H16" s="7"/>
      <c r="I16" s="7"/>
      <c r="J16" s="7">
        <f t="shared" si="1"/>
        <v>0</v>
      </c>
      <c r="K16" s="7">
        <f>253+680</f>
        <v>933</v>
      </c>
      <c r="O16" s="7"/>
    </row>
    <row r="17" spans="3:15" x14ac:dyDescent="0.25">
      <c r="C17" t="s">
        <v>104</v>
      </c>
      <c r="E17" s="7">
        <v>127.56</v>
      </c>
      <c r="F17" s="7">
        <f>E17*1.019</f>
        <v>129.98363999999998</v>
      </c>
      <c r="G17" s="7"/>
      <c r="H17" s="7"/>
      <c r="I17" s="7"/>
      <c r="J17" s="7">
        <f t="shared" si="1"/>
        <v>54.159849999999992</v>
      </c>
      <c r="K17" s="7">
        <f>21.7+20+84+72+154</f>
        <v>351.7</v>
      </c>
      <c r="O17" s="7"/>
    </row>
    <row r="18" spans="3:15" x14ac:dyDescent="0.25">
      <c r="C18" t="s">
        <v>105</v>
      </c>
      <c r="E18" s="7"/>
      <c r="F18" s="7"/>
      <c r="G18" s="7"/>
      <c r="H18" s="7"/>
      <c r="I18" s="7"/>
      <c r="J18" s="7"/>
      <c r="K18" s="7">
        <f>52.5+22.5+25+215+190+190+100+250+30</f>
        <v>1075</v>
      </c>
    </row>
    <row r="19" spans="3:15" x14ac:dyDescent="0.25">
      <c r="C19" t="s">
        <v>106</v>
      </c>
      <c r="E19" s="7"/>
      <c r="F19" s="7"/>
      <c r="G19" s="7"/>
      <c r="H19" s="7"/>
      <c r="I19" s="7"/>
      <c r="J19" s="7"/>
      <c r="K19" s="7">
        <f>234+208+150</f>
        <v>592</v>
      </c>
    </row>
    <row r="20" spans="3:15" x14ac:dyDescent="0.25">
      <c r="C20" t="s">
        <v>107</v>
      </c>
      <c r="E20" s="7"/>
      <c r="F20" s="7"/>
      <c r="G20" s="7"/>
      <c r="H20" s="7"/>
      <c r="I20" s="7"/>
      <c r="J20" s="7"/>
      <c r="K20" s="7">
        <f>129+15</f>
        <v>144</v>
      </c>
    </row>
    <row r="21" spans="3:15" x14ac:dyDescent="0.25">
      <c r="C21" t="s">
        <v>108</v>
      </c>
      <c r="E21" s="7">
        <f>SUM(E4:E18)</f>
        <v>11011.659999999998</v>
      </c>
      <c r="F21" s="7">
        <f>SUM(F4:F18)</f>
        <v>11220.881539999998</v>
      </c>
      <c r="G21" s="7"/>
      <c r="H21" s="7"/>
      <c r="I21" s="7"/>
      <c r="J21" s="7">
        <f>SUM(J4:J18)</f>
        <v>4675.3673083333324</v>
      </c>
      <c r="K21" s="7">
        <f>SUM(K4:K20)</f>
        <v>10718.11</v>
      </c>
    </row>
    <row r="22" spans="3:15" x14ac:dyDescent="0.25">
      <c r="E22" s="7"/>
      <c r="F22" s="7"/>
      <c r="G22" s="7"/>
      <c r="H22" s="7"/>
      <c r="I22" s="7"/>
      <c r="J22" s="7"/>
      <c r="K22" s="7"/>
    </row>
    <row r="23" spans="3:15" x14ac:dyDescent="0.25">
      <c r="C23" s="44" t="s">
        <v>109</v>
      </c>
      <c r="E23" s="7"/>
      <c r="F23" s="7"/>
      <c r="G23" s="7"/>
      <c r="H23" s="7"/>
      <c r="I23" s="7"/>
      <c r="J23" s="7"/>
      <c r="K23" s="7"/>
    </row>
    <row r="24" spans="3:15" x14ac:dyDescent="0.25">
      <c r="C24" t="s">
        <v>110</v>
      </c>
      <c r="E24" s="7">
        <v>4642.1099999999997</v>
      </c>
      <c r="F24" s="7">
        <f t="shared" ref="F24:F31" si="3">E24*1.019</f>
        <v>4730.310089999999</v>
      </c>
      <c r="G24" s="7"/>
      <c r="H24" s="7"/>
      <c r="I24" s="7"/>
      <c r="J24" s="7">
        <f t="shared" ref="J24:J31" si="4">F24/12*5</f>
        <v>1970.9625374999996</v>
      </c>
      <c r="K24" s="7">
        <f>673.21+369.83+76.96+46.11+423.05+669</f>
        <v>2258.16</v>
      </c>
      <c r="O24" s="7"/>
    </row>
    <row r="25" spans="3:15" x14ac:dyDescent="0.25">
      <c r="C25" t="s">
        <v>48</v>
      </c>
      <c r="E25" s="7">
        <v>675.8</v>
      </c>
      <c r="F25" s="7">
        <f t="shared" si="3"/>
        <v>688.64019999999994</v>
      </c>
      <c r="G25" s="7"/>
      <c r="H25" s="7"/>
      <c r="I25" s="7"/>
      <c r="J25" s="7">
        <f t="shared" si="4"/>
        <v>286.93341666666663</v>
      </c>
      <c r="K25" s="7">
        <f>57.9+57.9+57.9+57.9+57.9</f>
        <v>289.5</v>
      </c>
      <c r="O25" s="7"/>
    </row>
    <row r="26" spans="3:15" x14ac:dyDescent="0.25">
      <c r="C26" t="s">
        <v>111</v>
      </c>
      <c r="E26" s="7">
        <v>9800</v>
      </c>
      <c r="F26" s="7">
        <f t="shared" si="3"/>
        <v>9986.1999999999989</v>
      </c>
      <c r="G26" s="7"/>
      <c r="H26" s="7"/>
      <c r="I26" s="7"/>
      <c r="J26" s="7">
        <f t="shared" si="4"/>
        <v>4160.9166666666661</v>
      </c>
      <c r="K26" s="7">
        <f>800+1000+800+800+800+1000</f>
        <v>5200</v>
      </c>
      <c r="M26" s="28"/>
      <c r="N26" s="28"/>
      <c r="O26" s="7"/>
    </row>
    <row r="27" spans="3:15" x14ac:dyDescent="0.25">
      <c r="C27" t="s">
        <v>112</v>
      </c>
      <c r="E27" s="7">
        <v>325.58999999999997</v>
      </c>
      <c r="F27" s="7">
        <f t="shared" si="3"/>
        <v>331.77620999999994</v>
      </c>
      <c r="G27" s="7"/>
      <c r="H27" s="7"/>
      <c r="I27" s="7"/>
      <c r="J27" s="7">
        <f t="shared" si="4"/>
        <v>138.24008749999996</v>
      </c>
      <c r="K27" s="7"/>
      <c r="M27" s="28"/>
      <c r="N27" s="28"/>
      <c r="O27" s="7"/>
    </row>
    <row r="28" spans="3:15" x14ac:dyDescent="0.25">
      <c r="C28" t="s">
        <v>43</v>
      </c>
      <c r="E28" s="7">
        <v>1073.95</v>
      </c>
      <c r="F28" s="7">
        <f t="shared" si="3"/>
        <v>1094.3550499999999</v>
      </c>
      <c r="G28" s="7"/>
      <c r="H28" s="7"/>
      <c r="I28" s="7"/>
      <c r="J28" s="7">
        <f t="shared" si="4"/>
        <v>455.98127083333333</v>
      </c>
      <c r="K28" s="7">
        <f>114+91.17+40+80+37.5</f>
        <v>362.67</v>
      </c>
      <c r="M28" s="28"/>
      <c r="N28" s="28"/>
      <c r="O28" s="7"/>
    </row>
    <row r="29" spans="3:15" x14ac:dyDescent="0.25">
      <c r="C29" t="s">
        <v>113</v>
      </c>
      <c r="E29" s="59"/>
      <c r="F29" s="7"/>
      <c r="G29" s="7"/>
      <c r="H29" s="7"/>
      <c r="I29" s="7"/>
      <c r="J29" s="7">
        <f t="shared" si="4"/>
        <v>0</v>
      </c>
      <c r="K29" s="7"/>
      <c r="M29" s="28"/>
      <c r="N29" s="28"/>
      <c r="O29" s="7"/>
    </row>
    <row r="30" spans="3:15" x14ac:dyDescent="0.25">
      <c r="C30" t="s">
        <v>114</v>
      </c>
      <c r="E30" s="7"/>
      <c r="F30" s="7"/>
      <c r="G30" s="7"/>
      <c r="H30" s="7"/>
      <c r="I30" s="7"/>
      <c r="J30" s="7">
        <f t="shared" si="4"/>
        <v>0</v>
      </c>
      <c r="K30" s="7">
        <f>54</f>
        <v>54</v>
      </c>
      <c r="M30" s="28"/>
      <c r="N30" s="28"/>
      <c r="O30" s="7"/>
    </row>
    <row r="31" spans="3:15" x14ac:dyDescent="0.25">
      <c r="C31" t="s">
        <v>103</v>
      </c>
      <c r="D31" s="60"/>
      <c r="E31" s="61">
        <v>191.83</v>
      </c>
      <c r="F31" s="7">
        <f t="shared" si="3"/>
        <v>195.47477000000001</v>
      </c>
      <c r="G31" s="61"/>
      <c r="H31" s="61"/>
      <c r="I31" s="61"/>
      <c r="J31" s="7">
        <f t="shared" si="4"/>
        <v>81.447820833333338</v>
      </c>
      <c r="K31" s="61"/>
      <c r="L31" s="62"/>
      <c r="M31" s="28"/>
      <c r="N31" s="28"/>
      <c r="O31" s="7"/>
    </row>
    <row r="32" spans="3:15" x14ac:dyDescent="0.25">
      <c r="D32" s="60"/>
      <c r="E32" s="42"/>
      <c r="F32" s="42"/>
      <c r="G32" s="61"/>
      <c r="H32" s="61"/>
      <c r="I32" s="61"/>
      <c r="J32" s="7">
        <f t="shared" ref="J32" si="5">F32/12</f>
        <v>0</v>
      </c>
      <c r="K32" s="42"/>
      <c r="L32" s="60"/>
    </row>
    <row r="33" spans="3:12" x14ac:dyDescent="0.25">
      <c r="C33" t="s">
        <v>115</v>
      </c>
      <c r="D33" s="60"/>
      <c r="E33" s="61">
        <f>SUM(E24:E32)</f>
        <v>16709.280000000002</v>
      </c>
      <c r="F33" s="61">
        <f>SUM(F24:F32)</f>
        <v>17026.756319999997</v>
      </c>
      <c r="G33" s="61"/>
      <c r="H33" s="61"/>
      <c r="I33" s="61"/>
      <c r="J33" s="61">
        <f>SUM(J24:J32)</f>
        <v>7094.4817999999987</v>
      </c>
      <c r="K33" s="61">
        <f>SUM(K24:K32)</f>
        <v>8164.33</v>
      </c>
      <c r="L33" s="60"/>
    </row>
    <row r="34" spans="3:12" x14ac:dyDescent="0.25">
      <c r="E34" s="7"/>
      <c r="F34" s="30"/>
      <c r="G34" s="7"/>
      <c r="H34" s="7"/>
      <c r="I34" s="7"/>
      <c r="J34" s="7"/>
      <c r="K34" s="7"/>
    </row>
    <row r="35" spans="3:12" x14ac:dyDescent="0.25">
      <c r="C35" s="14" t="s">
        <v>116</v>
      </c>
      <c r="E35" s="7">
        <f>E21+E33</f>
        <v>27720.940000000002</v>
      </c>
      <c r="F35" s="7">
        <f>F21+F33</f>
        <v>28247.637859999995</v>
      </c>
      <c r="G35" s="7"/>
      <c r="H35" s="7"/>
      <c r="I35" s="7"/>
      <c r="J35" s="7">
        <f>J21+J33</f>
        <v>11769.849108333332</v>
      </c>
      <c r="K35" s="7">
        <f>K21+K33</f>
        <v>18882.440000000002</v>
      </c>
    </row>
    <row r="36" spans="3:12" x14ac:dyDescent="0.25">
      <c r="E36" s="7"/>
      <c r="F36" s="7"/>
      <c r="G36" s="7"/>
      <c r="H36" s="7"/>
      <c r="I36" s="7"/>
      <c r="J36" s="7"/>
      <c r="K36" s="7"/>
    </row>
    <row r="37" spans="3:12" x14ac:dyDescent="0.25">
      <c r="E37" s="7"/>
      <c r="F37" s="7"/>
      <c r="G37" s="7"/>
      <c r="H37" s="7"/>
      <c r="I37" s="7"/>
      <c r="J37" s="7"/>
      <c r="K37" s="7"/>
    </row>
    <row r="38" spans="3:12" x14ac:dyDescent="0.25">
      <c r="E38" s="7"/>
      <c r="F38" s="7"/>
      <c r="G38" s="7"/>
      <c r="H38" s="7"/>
      <c r="I38" s="7"/>
      <c r="J38" s="7"/>
      <c r="K38" s="7"/>
    </row>
    <row r="39" spans="3:12" x14ac:dyDescent="0.25">
      <c r="E39" s="7"/>
      <c r="F39" s="7"/>
      <c r="G39" s="7"/>
      <c r="H39" s="7"/>
      <c r="I39" s="7"/>
      <c r="J39" s="7"/>
      <c r="K39" s="7"/>
    </row>
    <row r="42" spans="3:12" x14ac:dyDescent="0.25">
      <c r="E42" s="63"/>
      <c r="F42" s="63"/>
    </row>
  </sheetData>
  <pageMargins left="0.70866141732283472" right="0.70866141732283472" top="0.74803149606299213" bottom="0.74803149606299213" header="0.31496062992125984" footer="0.31496062992125984"/>
  <pageSetup paperSize="9" scale="97" orientation="landscape" cellComments="asDisplayed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9BADF-4DF7-4057-B743-B15D1EE74A63}">
  <sheetPr>
    <pageSetUpPr fitToPage="1"/>
  </sheetPr>
  <dimension ref="C3:M71"/>
  <sheetViews>
    <sheetView topLeftCell="B25" workbookViewId="0">
      <selection activeCell="K42" sqref="K42"/>
    </sheetView>
  </sheetViews>
  <sheetFormatPr defaultRowHeight="15" x14ac:dyDescent="0.25"/>
  <cols>
    <col min="1" max="2" width="9.140625" style="10"/>
    <col min="3" max="3" width="26.42578125" style="10" customWidth="1"/>
    <col min="4" max="4" width="12.7109375" style="10" customWidth="1"/>
    <col min="5" max="5" width="36.42578125" style="10" customWidth="1"/>
    <col min="6" max="6" width="9" style="10" customWidth="1"/>
    <col min="7" max="7" width="35.7109375" style="10" customWidth="1"/>
    <col min="8" max="8" width="9.140625" style="10"/>
    <col min="9" max="9" width="2.7109375" style="10" customWidth="1"/>
    <col min="10" max="11" width="9.140625" style="10"/>
    <col min="12" max="12" width="9.7109375" style="10" bestFit="1" customWidth="1"/>
    <col min="13" max="16384" width="9.140625" style="10"/>
  </cols>
  <sheetData>
    <row r="3" spans="3:12" x14ac:dyDescent="0.25">
      <c r="E3" s="10" t="s">
        <v>20</v>
      </c>
      <c r="J3" s="11" t="s">
        <v>21</v>
      </c>
      <c r="L3" s="12"/>
    </row>
    <row r="4" spans="3:12" x14ac:dyDescent="0.25">
      <c r="C4" s="13" t="s">
        <v>22</v>
      </c>
      <c r="E4" s="10" t="s">
        <v>23</v>
      </c>
      <c r="H4" s="10" t="s">
        <v>24</v>
      </c>
    </row>
    <row r="5" spans="3:12" x14ac:dyDescent="0.25">
      <c r="C5" s="14" t="s">
        <v>25</v>
      </c>
      <c r="D5" s="12"/>
      <c r="E5" s="15"/>
      <c r="H5" s="16"/>
    </row>
    <row r="6" spans="3:12" x14ac:dyDescent="0.25">
      <c r="C6" s="17"/>
      <c r="D6" s="17"/>
      <c r="E6" s="18" t="s">
        <v>1</v>
      </c>
      <c r="F6" s="19"/>
      <c r="G6" s="19"/>
      <c r="H6" s="20">
        <f>'[1]May 2018 Detailed'!H11+'[1]May 2018 Detailed'!H19+'[1]May 2018 Detailed'!H27+'[1]May 2018 Detailed'!H28+'[1]May 2018 Detailed'!H30+'[1]May 2018 Detailed'!H37+'[1]May 2018 Detailed'!H40</f>
        <v>244.3</v>
      </c>
      <c r="I6" s="19"/>
      <c r="J6" s="19"/>
      <c r="K6" s="19"/>
    </row>
    <row r="7" spans="3:12" x14ac:dyDescent="0.25">
      <c r="C7" s="17"/>
      <c r="D7" s="17"/>
      <c r="E7" s="21" t="s">
        <v>26</v>
      </c>
      <c r="F7" s="19"/>
      <c r="G7" s="19"/>
      <c r="H7" s="16">
        <f>'[1]May 2018 Detailed'!H7+'[1]May 2018 Detailed'!H12+'[1]May 2018 Detailed'!H13+'[1]May 2018 Detailed'!H16+'[1]May 2018 Detailed'!H38</f>
        <v>153</v>
      </c>
      <c r="I7" s="19"/>
      <c r="J7" s="19"/>
      <c r="K7" s="19"/>
    </row>
    <row r="8" spans="3:12" x14ac:dyDescent="0.25">
      <c r="C8" s="17"/>
      <c r="D8" s="17"/>
      <c r="E8" s="18" t="s">
        <v>27</v>
      </c>
      <c r="F8" s="19"/>
      <c r="G8" s="19"/>
      <c r="H8" s="16">
        <f>'[1]May 2018 Detailed'!H8+'[1]May 2018 Detailed'!H9+'[1]May 2018 Detailed'!H17+'[1]May 2018 Detailed'!H18+'[1]May 2018 Detailed'!H20+'[1]May 2018 Detailed'!H22+'[1]May 2018 Detailed'!H23+'[1]May 2018 Detailed'!H25+'[1]May 2018 Detailed'!H31+'[1]May 2018 Detailed'!H32+'[1]May 2018 Detailed'!H34+'[1]May 2018 Detailed'!H35+'[1]May 2018 Detailed'!H41+'[1]May 2018 Detailed'!H42+'[1]May 2018 Detailed'!H44+'[1]May 2018 Detailed'!H43</f>
        <v>867.1</v>
      </c>
      <c r="I8" s="19"/>
      <c r="J8" s="19"/>
      <c r="K8" s="19"/>
    </row>
    <row r="9" spans="3:12" x14ac:dyDescent="0.25">
      <c r="C9" s="17"/>
      <c r="D9" s="17"/>
      <c r="E9" s="22" t="s">
        <v>28</v>
      </c>
      <c r="F9" s="19"/>
      <c r="G9" s="19"/>
      <c r="H9" s="23">
        <f>'[1]May 2018 Detailed'!H10+'[1]May 2018 Detailed'!H21+'[1]May 2018 Detailed'!H24+'[1]May 2018 Detailed'!H26++'[1]May 2018 Detailed'!H33+'[1]May 2018 Detailed'!H36+'[1]May 2018 Detailed'!H39+'[1]May 2018 Detailed'!H45+'[1]May 2018 Detailed'!H6</f>
        <v>850.55</v>
      </c>
      <c r="I9" s="23"/>
      <c r="J9" s="19"/>
      <c r="K9" s="19"/>
    </row>
    <row r="10" spans="3:12" x14ac:dyDescent="0.25">
      <c r="C10" s="17"/>
      <c r="D10" s="17"/>
      <c r="E10" s="21" t="s">
        <v>29</v>
      </c>
      <c r="F10" s="19"/>
      <c r="G10" s="19"/>
      <c r="H10" s="23">
        <f>'[1]May 2018 Detailed'!H46</f>
        <v>0.04</v>
      </c>
      <c r="I10" s="23"/>
      <c r="J10" s="19"/>
      <c r="K10" s="19"/>
    </row>
    <row r="11" spans="3:12" x14ac:dyDescent="0.25">
      <c r="C11" s="12"/>
      <c r="E11" s="15" t="s">
        <v>30</v>
      </c>
      <c r="G11" s="19"/>
      <c r="H11" s="23">
        <v>3000</v>
      </c>
      <c r="I11" s="23"/>
      <c r="J11" s="19"/>
      <c r="K11" s="19"/>
    </row>
    <row r="12" spans="3:12" x14ac:dyDescent="0.25">
      <c r="C12" s="12"/>
      <c r="E12" s="21" t="s">
        <v>31</v>
      </c>
      <c r="G12" s="19"/>
      <c r="H12" s="23">
        <f>'[1]May 2018 Detailed'!H29+'[1]May 2018 Detailed'!H14</f>
        <v>2166.61</v>
      </c>
      <c r="I12" s="23"/>
      <c r="J12" s="19"/>
      <c r="K12" s="19"/>
    </row>
    <row r="13" spans="3:12" x14ac:dyDescent="0.25">
      <c r="C13" s="12"/>
      <c r="D13" s="12"/>
      <c r="E13" s="24"/>
      <c r="G13" s="19"/>
      <c r="H13" s="23"/>
      <c r="I13" s="23"/>
      <c r="J13" s="19"/>
      <c r="K13" s="19"/>
    </row>
    <row r="14" spans="3:12" x14ac:dyDescent="0.25">
      <c r="E14" s="10" t="s">
        <v>0</v>
      </c>
      <c r="G14" s="19"/>
      <c r="H14" s="23">
        <f>SUM(H4:H13)</f>
        <v>7281.6</v>
      </c>
      <c r="I14" s="19"/>
      <c r="J14" s="19"/>
      <c r="K14" s="19"/>
    </row>
    <row r="15" spans="3:12" x14ac:dyDescent="0.25">
      <c r="G15" s="19"/>
      <c r="H15" s="19"/>
      <c r="I15" s="19"/>
      <c r="J15" s="19"/>
      <c r="K15" s="19"/>
    </row>
    <row r="16" spans="3:12" x14ac:dyDescent="0.25">
      <c r="G16" s="19"/>
      <c r="H16" s="19"/>
      <c r="I16" s="19"/>
      <c r="J16" s="19"/>
      <c r="K16" s="19"/>
    </row>
    <row r="17" spans="3:13" x14ac:dyDescent="0.25">
      <c r="G17" s="19"/>
      <c r="H17" s="19"/>
      <c r="I17" s="19"/>
      <c r="J17" s="19"/>
      <c r="K17" s="19"/>
      <c r="M17" s="19"/>
    </row>
    <row r="18" spans="3:13" x14ac:dyDescent="0.25">
      <c r="C18" s="14" t="s">
        <v>32</v>
      </c>
      <c r="H18" s="19"/>
      <c r="I18" s="19"/>
      <c r="J18" s="19"/>
      <c r="K18" s="19"/>
      <c r="M18" s="19"/>
    </row>
    <row r="19" spans="3:13" x14ac:dyDescent="0.25">
      <c r="C19" s="25" t="s">
        <v>22</v>
      </c>
      <c r="D19" s="25"/>
      <c r="E19" s="25" t="s">
        <v>33</v>
      </c>
      <c r="F19" s="25"/>
      <c r="G19" s="25" t="s">
        <v>23</v>
      </c>
      <c r="H19" s="26"/>
      <c r="I19" s="26"/>
      <c r="J19" s="26" t="s">
        <v>34</v>
      </c>
      <c r="K19" s="26" t="s">
        <v>24</v>
      </c>
      <c r="M19" s="19"/>
    </row>
    <row r="20" spans="3:13" x14ac:dyDescent="0.25">
      <c r="C20" s="27">
        <v>43221</v>
      </c>
      <c r="D20" s="28"/>
      <c r="E20" s="28" t="s">
        <v>35</v>
      </c>
      <c r="F20" s="28"/>
      <c r="G20" s="28" t="s">
        <v>36</v>
      </c>
      <c r="H20" s="28"/>
      <c r="I20" s="28"/>
      <c r="J20" s="29" t="s">
        <v>37</v>
      </c>
      <c r="K20" s="30">
        <v>289</v>
      </c>
      <c r="M20" s="16"/>
    </row>
    <row r="21" spans="3:13" x14ac:dyDescent="0.25">
      <c r="C21" s="31"/>
      <c r="D21" s="28"/>
      <c r="E21" s="28" t="s">
        <v>38</v>
      </c>
      <c r="F21" s="32"/>
      <c r="G21" s="28" t="s">
        <v>39</v>
      </c>
      <c r="H21" s="33"/>
      <c r="I21" s="33"/>
      <c r="J21" s="29" t="s">
        <v>37</v>
      </c>
      <c r="K21" s="34">
        <v>250</v>
      </c>
    </row>
    <row r="22" spans="3:13" x14ac:dyDescent="0.25">
      <c r="C22" s="35"/>
      <c r="D22" s="28"/>
      <c r="E22" s="28" t="s">
        <v>40</v>
      </c>
      <c r="F22" s="28"/>
      <c r="G22" s="28" t="s">
        <v>41</v>
      </c>
      <c r="H22" s="21"/>
      <c r="I22" s="21"/>
      <c r="J22" s="29" t="s">
        <v>37</v>
      </c>
      <c r="K22" s="36">
        <v>65</v>
      </c>
    </row>
    <row r="23" spans="3:13" x14ac:dyDescent="0.25">
      <c r="C23" s="35"/>
      <c r="D23" s="21"/>
      <c r="E23" s="28" t="s">
        <v>42</v>
      </c>
      <c r="F23" s="28"/>
      <c r="G23" s="28" t="s">
        <v>43</v>
      </c>
      <c r="H23" s="21"/>
      <c r="I23" s="21"/>
      <c r="J23" s="29" t="s">
        <v>37</v>
      </c>
      <c r="K23" s="36">
        <v>80</v>
      </c>
    </row>
    <row r="24" spans="3:13" x14ac:dyDescent="0.25">
      <c r="C24" s="35"/>
      <c r="D24" s="21"/>
      <c r="E24" s="28" t="s">
        <v>44</v>
      </c>
      <c r="F24" s="28"/>
      <c r="G24" s="28" t="s">
        <v>45</v>
      </c>
      <c r="H24" s="21"/>
      <c r="I24" s="21"/>
      <c r="J24" s="29" t="s">
        <v>37</v>
      </c>
      <c r="K24" s="36">
        <v>800</v>
      </c>
    </row>
    <row r="25" spans="3:13" x14ac:dyDescent="0.25">
      <c r="C25" s="35">
        <v>43229</v>
      </c>
      <c r="D25" s="21"/>
      <c r="E25" s="28" t="s">
        <v>46</v>
      </c>
      <c r="F25" s="28"/>
      <c r="G25" s="28" t="s">
        <v>47</v>
      </c>
      <c r="H25" s="21"/>
      <c r="I25" s="21"/>
      <c r="J25" s="29" t="s">
        <v>37</v>
      </c>
      <c r="K25" s="20">
        <v>46.11</v>
      </c>
    </row>
    <row r="26" spans="3:13" x14ac:dyDescent="0.25">
      <c r="C26" s="35"/>
      <c r="D26" s="21"/>
      <c r="E26" s="28" t="s">
        <v>48</v>
      </c>
      <c r="F26" s="28"/>
      <c r="G26" s="28" t="s">
        <v>49</v>
      </c>
      <c r="H26" s="21"/>
      <c r="I26" s="21"/>
      <c r="J26" s="29" t="s">
        <v>37</v>
      </c>
      <c r="K26" s="20">
        <v>57.9</v>
      </c>
    </row>
    <row r="27" spans="3:13" x14ac:dyDescent="0.25">
      <c r="C27" s="35"/>
      <c r="D27" s="21"/>
      <c r="E27" s="28" t="s">
        <v>50</v>
      </c>
      <c r="F27" s="28"/>
      <c r="G27" s="28" t="s">
        <v>31</v>
      </c>
      <c r="H27" s="21"/>
      <c r="I27" s="21"/>
      <c r="J27" s="29" t="s">
        <v>37</v>
      </c>
      <c r="K27" s="20">
        <v>1200</v>
      </c>
    </row>
    <row r="28" spans="3:13" x14ac:dyDescent="0.25">
      <c r="C28" s="35"/>
      <c r="D28" s="21"/>
      <c r="E28" s="28" t="s">
        <v>51</v>
      </c>
      <c r="F28" s="28"/>
      <c r="G28" s="28" t="s">
        <v>52</v>
      </c>
      <c r="H28" s="21"/>
      <c r="I28" s="21"/>
      <c r="J28" s="29" t="s">
        <v>37</v>
      </c>
      <c r="K28" s="20">
        <v>150</v>
      </c>
    </row>
    <row r="29" spans="3:13" x14ac:dyDescent="0.25">
      <c r="C29" s="27"/>
      <c r="D29" s="28"/>
      <c r="E29" s="28" t="s">
        <v>53</v>
      </c>
      <c r="F29" s="28"/>
      <c r="G29" s="28" t="s">
        <v>39</v>
      </c>
      <c r="H29" s="21"/>
      <c r="I29" s="21"/>
      <c r="J29" s="29" t="s">
        <v>37</v>
      </c>
      <c r="K29" s="20">
        <v>30</v>
      </c>
    </row>
    <row r="30" spans="3:13" x14ac:dyDescent="0.25">
      <c r="C30" s="35">
        <v>43235</v>
      </c>
      <c r="D30" s="21"/>
      <c r="E30" s="28" t="s">
        <v>40</v>
      </c>
      <c r="F30"/>
      <c r="G30" s="21" t="s">
        <v>54</v>
      </c>
      <c r="H30" s="21"/>
      <c r="I30" s="21"/>
      <c r="J30" s="37" t="s">
        <v>37</v>
      </c>
      <c r="K30" s="20">
        <v>99.1</v>
      </c>
    </row>
    <row r="31" spans="3:13" x14ac:dyDescent="0.25">
      <c r="C31" s="35">
        <v>43236</v>
      </c>
      <c r="D31" s="21"/>
      <c r="E31" s="28" t="s">
        <v>55</v>
      </c>
      <c r="F31" s="28"/>
      <c r="G31" s="28" t="s">
        <v>56</v>
      </c>
      <c r="H31" s="21"/>
      <c r="I31" s="21"/>
      <c r="J31" s="29" t="s">
        <v>37</v>
      </c>
      <c r="K31" s="20">
        <v>423.05</v>
      </c>
    </row>
    <row r="32" spans="3:13" x14ac:dyDescent="0.25">
      <c r="C32" s="27">
        <v>43237</v>
      </c>
      <c r="D32" s="21"/>
      <c r="E32" s="28" t="s">
        <v>57</v>
      </c>
      <c r="F32" s="21"/>
      <c r="G32" s="28" t="s">
        <v>58</v>
      </c>
      <c r="H32" s="21"/>
      <c r="I32" s="21"/>
      <c r="J32" s="29" t="s">
        <v>37</v>
      </c>
      <c r="K32" s="20">
        <v>669</v>
      </c>
    </row>
    <row r="33" spans="3:13" x14ac:dyDescent="0.25">
      <c r="C33" s="27">
        <v>43242</v>
      </c>
      <c r="D33" s="21"/>
      <c r="E33" s="28" t="s">
        <v>59</v>
      </c>
      <c r="F33" s="21"/>
      <c r="G33" s="28" t="s">
        <v>43</v>
      </c>
      <c r="H33" s="21"/>
      <c r="I33" s="21"/>
      <c r="J33" s="29" t="s">
        <v>37</v>
      </c>
      <c r="K33" s="20">
        <v>37.5</v>
      </c>
    </row>
    <row r="34" spans="3:13" x14ac:dyDescent="0.25">
      <c r="C34" s="27"/>
      <c r="D34" s="21"/>
      <c r="E34" s="28" t="s">
        <v>60</v>
      </c>
      <c r="F34" s="21"/>
      <c r="G34" s="28" t="s">
        <v>31</v>
      </c>
      <c r="H34" s="21"/>
      <c r="I34" s="21"/>
      <c r="J34" s="29" t="s">
        <v>37</v>
      </c>
      <c r="K34" s="20">
        <v>820</v>
      </c>
    </row>
    <row r="35" spans="3:13" x14ac:dyDescent="0.25">
      <c r="C35" s="27">
        <v>43243</v>
      </c>
      <c r="D35" s="21"/>
      <c r="E35" s="28" t="s">
        <v>61</v>
      </c>
      <c r="F35" s="21"/>
      <c r="G35" s="28" t="s">
        <v>62</v>
      </c>
      <c r="H35" s="21"/>
      <c r="I35" s="21"/>
      <c r="J35" s="29" t="s">
        <v>37</v>
      </c>
      <c r="K35" s="20">
        <v>57</v>
      </c>
    </row>
    <row r="36" spans="3:13" x14ac:dyDescent="0.25">
      <c r="C36" s="27"/>
      <c r="D36" s="21"/>
      <c r="E36" s="28" t="s">
        <v>63</v>
      </c>
      <c r="F36" s="21"/>
      <c r="G36" s="28" t="s">
        <v>64</v>
      </c>
      <c r="H36" s="21"/>
      <c r="I36" s="21"/>
      <c r="J36" s="29" t="s">
        <v>37</v>
      </c>
      <c r="K36" s="20">
        <v>72</v>
      </c>
    </row>
    <row r="37" spans="3:13" x14ac:dyDescent="0.25">
      <c r="C37" s="27"/>
      <c r="D37" s="21"/>
      <c r="E37" s="28" t="s">
        <v>65</v>
      </c>
      <c r="F37" s="21"/>
      <c r="G37" s="28" t="s">
        <v>66</v>
      </c>
      <c r="H37" s="21"/>
      <c r="I37" s="21"/>
      <c r="J37" s="29" t="s">
        <v>37</v>
      </c>
      <c r="K37" s="20">
        <v>880</v>
      </c>
    </row>
    <row r="38" spans="3:13" x14ac:dyDescent="0.25">
      <c r="C38" s="27">
        <v>43245</v>
      </c>
      <c r="D38" s="21"/>
      <c r="E38" s="28" t="s">
        <v>44</v>
      </c>
      <c r="F38" s="21"/>
      <c r="G38" s="28" t="s">
        <v>67</v>
      </c>
      <c r="H38" s="21"/>
      <c r="I38" s="21"/>
      <c r="J38" s="29" t="s">
        <v>37</v>
      </c>
      <c r="K38" s="20">
        <v>1000</v>
      </c>
    </row>
    <row r="39" spans="3:13" x14ac:dyDescent="0.25">
      <c r="C39" s="27">
        <v>43249</v>
      </c>
      <c r="D39" s="21"/>
      <c r="E39" s="28" t="s">
        <v>68</v>
      </c>
      <c r="F39" s="21"/>
      <c r="G39" s="28" t="s">
        <v>69</v>
      </c>
      <c r="H39" s="21"/>
      <c r="I39" s="21"/>
      <c r="J39" s="29" t="s">
        <v>37</v>
      </c>
      <c r="K39" s="20">
        <v>154</v>
      </c>
    </row>
    <row r="40" spans="3:13" x14ac:dyDescent="0.25">
      <c r="C40" s="35"/>
      <c r="D40" s="21"/>
      <c r="E40" s="28"/>
      <c r="F40" s="28"/>
      <c r="G40" s="28"/>
      <c r="H40" s="21"/>
      <c r="I40" s="21"/>
      <c r="J40" s="29"/>
      <c r="K40" s="20"/>
    </row>
    <row r="41" spans="3:13" x14ac:dyDescent="0.25">
      <c r="C41" s="15"/>
      <c r="D41" s="15"/>
      <c r="E41" s="21"/>
      <c r="F41" s="15"/>
      <c r="G41" s="21"/>
      <c r="H41" s="15"/>
      <c r="I41" s="15"/>
      <c r="J41" s="37"/>
      <c r="K41" s="38"/>
    </row>
    <row r="42" spans="3:13" x14ac:dyDescent="0.25">
      <c r="E42" s="10" t="s">
        <v>70</v>
      </c>
      <c r="K42" s="39">
        <f>SUM(K20:K41)</f>
        <v>7179.66</v>
      </c>
    </row>
    <row r="43" spans="3:13" x14ac:dyDescent="0.25">
      <c r="K43" s="40"/>
    </row>
    <row r="44" spans="3:13" x14ac:dyDescent="0.25">
      <c r="K44" s="40"/>
      <c r="M44" s="39"/>
    </row>
    <row r="45" spans="3:13" x14ac:dyDescent="0.25">
      <c r="J45" s="10" t="s">
        <v>71</v>
      </c>
      <c r="K45" s="40"/>
      <c r="M45" s="39"/>
    </row>
    <row r="46" spans="3:13" x14ac:dyDescent="0.25">
      <c r="C46" s="10" t="s">
        <v>72</v>
      </c>
      <c r="D46" s="40">
        <v>4255.62</v>
      </c>
      <c r="M46" s="39"/>
    </row>
    <row r="47" spans="3:13" x14ac:dyDescent="0.25">
      <c r="C47" s="15" t="s">
        <v>73</v>
      </c>
      <c r="D47" s="23">
        <v>3000</v>
      </c>
      <c r="G47" s="40"/>
      <c r="J47" s="10" t="s">
        <v>74</v>
      </c>
      <c r="M47" s="39">
        <v>4357.5600000000004</v>
      </c>
    </row>
    <row r="48" spans="3:13" x14ac:dyDescent="0.25">
      <c r="C48" s="10" t="s">
        <v>75</v>
      </c>
      <c r="D48" s="40">
        <f>H14</f>
        <v>7281.6</v>
      </c>
      <c r="F48" s="40"/>
      <c r="G48" s="39"/>
      <c r="L48" s="39"/>
      <c r="M48" s="39"/>
    </row>
    <row r="49" spans="3:13" x14ac:dyDescent="0.25">
      <c r="D49" s="40"/>
      <c r="J49" s="10" t="s">
        <v>76</v>
      </c>
      <c r="L49" s="39"/>
      <c r="M49" s="39"/>
    </row>
    <row r="50" spans="3:13" x14ac:dyDescent="0.25">
      <c r="D50" s="40"/>
      <c r="G50" s="40"/>
      <c r="L50" s="41"/>
      <c r="M50" s="39"/>
    </row>
    <row r="51" spans="3:13" x14ac:dyDescent="0.25">
      <c r="C51" s="10" t="s">
        <v>77</v>
      </c>
      <c r="D51" s="40">
        <f>K42</f>
        <v>7179.66</v>
      </c>
      <c r="F51" s="39"/>
      <c r="G51" s="39"/>
      <c r="L51" s="16"/>
      <c r="M51" s="39"/>
    </row>
    <row r="52" spans="3:13" x14ac:dyDescent="0.25">
      <c r="D52" s="40">
        <f>D46+D47+D48-D51</f>
        <v>7357.5600000000013</v>
      </c>
      <c r="F52" s="40"/>
      <c r="L52" s="16"/>
      <c r="M52" s="39"/>
    </row>
    <row r="53" spans="3:13" x14ac:dyDescent="0.25">
      <c r="D53" s="40"/>
      <c r="G53" s="42"/>
      <c r="L53" s="16"/>
      <c r="M53" s="39"/>
    </row>
    <row r="54" spans="3:13" x14ac:dyDescent="0.25">
      <c r="D54" s="40"/>
      <c r="F54" s="40"/>
      <c r="G54" s="40"/>
      <c r="L54" s="39"/>
      <c r="M54" s="39"/>
    </row>
    <row r="55" spans="3:13" x14ac:dyDescent="0.25">
      <c r="D55" s="40"/>
      <c r="L55" s="39"/>
      <c r="M55" s="39"/>
    </row>
    <row r="56" spans="3:13" x14ac:dyDescent="0.25">
      <c r="D56" s="43"/>
      <c r="E56" s="44"/>
      <c r="F56" s="44"/>
      <c r="L56" s="45"/>
      <c r="M56" s="39"/>
    </row>
    <row r="57" spans="3:13" x14ac:dyDescent="0.25">
      <c r="C57" s="44" t="s">
        <v>78</v>
      </c>
      <c r="D57" s="40"/>
      <c r="L57" s="46">
        <f>SUM(L50:L56)</f>
        <v>0</v>
      </c>
      <c r="M57" s="45">
        <f>SUM(L50:L56)</f>
        <v>0</v>
      </c>
    </row>
    <row r="58" spans="3:13" x14ac:dyDescent="0.25">
      <c r="D58" s="40"/>
      <c r="G58" s="40"/>
      <c r="L58" s="39"/>
      <c r="M58" s="39">
        <f>M47-M57</f>
        <v>4357.5600000000004</v>
      </c>
    </row>
    <row r="59" spans="3:13" x14ac:dyDescent="0.25">
      <c r="C59" s="10" t="s">
        <v>79</v>
      </c>
      <c r="D59" s="40">
        <v>4357.5600000000004</v>
      </c>
      <c r="L59" s="39"/>
      <c r="M59" s="46"/>
    </row>
    <row r="60" spans="3:13" x14ac:dyDescent="0.25">
      <c r="C60" s="10" t="s">
        <v>80</v>
      </c>
      <c r="D60" s="40">
        <v>10752.87</v>
      </c>
      <c r="E60" s="47"/>
      <c r="L60" s="39"/>
      <c r="M60" s="46"/>
    </row>
    <row r="61" spans="3:13" x14ac:dyDescent="0.25">
      <c r="C61" s="10" t="s">
        <v>81</v>
      </c>
      <c r="D61" s="40">
        <f>7495.95+10464.1</f>
        <v>17960.05</v>
      </c>
      <c r="L61" s="39"/>
      <c r="M61" s="48">
        <f>SUM(M58:M60)</f>
        <v>4357.5600000000004</v>
      </c>
    </row>
    <row r="62" spans="3:13" x14ac:dyDescent="0.25">
      <c r="C62" s="10" t="s">
        <v>82</v>
      </c>
      <c r="D62" s="40">
        <f>8797.46+15761.34</f>
        <v>24558.799999999999</v>
      </c>
      <c r="F62" s="49"/>
      <c r="L62" s="39"/>
      <c r="M62" s="39"/>
    </row>
    <row r="63" spans="3:13" x14ac:dyDescent="0.25">
      <c r="C63" s="10" t="s">
        <v>83</v>
      </c>
      <c r="D63" s="23">
        <v>0</v>
      </c>
      <c r="F63" s="50"/>
      <c r="L63" s="39"/>
      <c r="M63" s="39"/>
    </row>
    <row r="64" spans="3:13" x14ac:dyDescent="0.25">
      <c r="D64" s="51">
        <f>SUM(D59:D63)</f>
        <v>57629.279999999999</v>
      </c>
      <c r="F64" s="52">
        <f>D64</f>
        <v>57629.279999999999</v>
      </c>
      <c r="G64" s="53"/>
      <c r="H64" s="53" t="s">
        <v>84</v>
      </c>
      <c r="I64" s="53"/>
      <c r="J64" s="53"/>
      <c r="K64" s="52">
        <f>'[1]April 2018 Summary'!F61</f>
        <v>60435.540000000008</v>
      </c>
      <c r="L64" s="39"/>
      <c r="M64" s="39"/>
    </row>
    <row r="65" spans="5:11" x14ac:dyDescent="0.25">
      <c r="F65" s="53"/>
      <c r="G65" s="53"/>
      <c r="H65" s="53" t="s">
        <v>85</v>
      </c>
      <c r="I65" s="53"/>
      <c r="J65" s="53"/>
      <c r="K65" s="53">
        <f>F64-K64</f>
        <v>-2806.2600000000093</v>
      </c>
    </row>
    <row r="66" spans="5:11" x14ac:dyDescent="0.25">
      <c r="F66" s="53"/>
      <c r="G66" s="53"/>
      <c r="H66" s="53"/>
      <c r="I66" s="53"/>
      <c r="J66" s="53"/>
      <c r="K66" s="53"/>
    </row>
    <row r="67" spans="5:11" x14ac:dyDescent="0.25">
      <c r="F67" s="54">
        <v>60435.54</v>
      </c>
      <c r="G67" s="55"/>
      <c r="H67" s="55" t="s">
        <v>86</v>
      </c>
      <c r="I67" s="55"/>
      <c r="J67" s="55"/>
      <c r="K67" s="54">
        <f>'[1]April Summary'!D60</f>
        <v>60619.47</v>
      </c>
    </row>
    <row r="68" spans="5:11" x14ac:dyDescent="0.25">
      <c r="F68" s="55"/>
      <c r="G68" s="55"/>
      <c r="H68" s="53" t="s">
        <v>85</v>
      </c>
      <c r="I68" s="55"/>
      <c r="J68" s="55"/>
      <c r="K68" s="55">
        <f>F67-K67</f>
        <v>-183.93000000000029</v>
      </c>
    </row>
    <row r="70" spans="5:11" x14ac:dyDescent="0.25">
      <c r="E70" s="56"/>
      <c r="G70" s="15"/>
    </row>
    <row r="71" spans="5:11" x14ac:dyDescent="0.25">
      <c r="E71" s="56"/>
      <c r="G71" s="15"/>
    </row>
  </sheetData>
  <pageMargins left="0.7" right="0.7" top="0.75" bottom="0.75" header="0.3" footer="0.3"/>
  <pageSetup paperSize="9" scale="52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09889-7A25-48E9-AC9E-A7EAAD89C292}">
  <sheetPr>
    <pageSetUpPr fitToPage="1"/>
  </sheetPr>
  <dimension ref="C1:P18"/>
  <sheetViews>
    <sheetView topLeftCell="C1" workbookViewId="0">
      <selection activeCell="P9" sqref="P9"/>
    </sheetView>
  </sheetViews>
  <sheetFormatPr defaultRowHeight="15" x14ac:dyDescent="0.25"/>
  <cols>
    <col min="4" max="4" width="5.42578125" bestFit="1" customWidth="1"/>
    <col min="5" max="6" width="13.5703125" bestFit="1" customWidth="1"/>
    <col min="7" max="8" width="12.28515625" bestFit="1" customWidth="1"/>
    <col min="9" max="10" width="10" bestFit="1" customWidth="1"/>
    <col min="11" max="12" width="11" bestFit="1" customWidth="1"/>
    <col min="13" max="14" width="12.7109375" bestFit="1" customWidth="1"/>
  </cols>
  <sheetData>
    <row r="1" spans="4:16" x14ac:dyDescent="0.25">
      <c r="E1" s="1">
        <v>2017</v>
      </c>
      <c r="F1" s="2">
        <v>2018</v>
      </c>
      <c r="G1" s="1">
        <v>2017</v>
      </c>
      <c r="H1" s="2">
        <v>2018</v>
      </c>
      <c r="I1" s="1">
        <v>2017</v>
      </c>
      <c r="J1" s="2">
        <v>2018</v>
      </c>
      <c r="K1" s="3">
        <v>2017</v>
      </c>
      <c r="L1" s="2">
        <v>2018</v>
      </c>
      <c r="M1" s="3">
        <v>2017</v>
      </c>
      <c r="N1" s="2">
        <v>2018</v>
      </c>
      <c r="O1" s="1">
        <v>2017</v>
      </c>
      <c r="P1" s="2">
        <v>2018</v>
      </c>
    </row>
    <row r="2" spans="4:16" x14ac:dyDescent="0.25">
      <c r="F2" s="4"/>
      <c r="H2" s="4"/>
      <c r="J2" s="4"/>
      <c r="K2" s="5"/>
      <c r="L2" s="4"/>
      <c r="M2" s="4"/>
      <c r="N2" s="4"/>
      <c r="P2" s="4"/>
    </row>
    <row r="3" spans="4:16" x14ac:dyDescent="0.25">
      <c r="E3" t="s">
        <v>0</v>
      </c>
      <c r="F3" s="4" t="s">
        <v>0</v>
      </c>
      <c r="G3" t="s">
        <v>1</v>
      </c>
      <c r="H3" s="4" t="s">
        <v>1</v>
      </c>
      <c r="I3" t="s">
        <v>2</v>
      </c>
      <c r="J3" s="4" t="s">
        <v>2</v>
      </c>
      <c r="K3" s="5" t="s">
        <v>3</v>
      </c>
      <c r="L3" s="4" t="s">
        <v>3</v>
      </c>
      <c r="M3" s="5" t="s">
        <v>4</v>
      </c>
      <c r="N3" s="6" t="s">
        <v>4</v>
      </c>
      <c r="O3" s="1" t="s">
        <v>5</v>
      </c>
      <c r="P3" s="2" t="s">
        <v>5</v>
      </c>
    </row>
    <row r="4" spans="4:16" x14ac:dyDescent="0.25">
      <c r="D4" t="s">
        <v>6</v>
      </c>
      <c r="E4" s="7">
        <f t="shared" ref="E4:E15" si="0">G4+I4+O4</f>
        <v>6097.08</v>
      </c>
      <c r="F4" s="8">
        <f t="shared" ref="F4:F5" si="1">H4+J4+P4+L4+N4</f>
        <v>7403.63</v>
      </c>
      <c r="G4" s="7">
        <v>4567.0200000000004</v>
      </c>
      <c r="H4" s="8">
        <v>5265.05</v>
      </c>
      <c r="I4" s="7">
        <v>530</v>
      </c>
      <c r="J4" s="8">
        <f>214</f>
        <v>214</v>
      </c>
      <c r="K4" s="9">
        <v>0</v>
      </c>
      <c r="L4" s="8"/>
      <c r="M4" s="8"/>
      <c r="N4" s="8"/>
      <c r="O4" s="7">
        <v>1000.06</v>
      </c>
      <c r="P4" s="8">
        <f>1044.52+880+0.06</f>
        <v>1924.58</v>
      </c>
    </row>
    <row r="5" spans="4:16" x14ac:dyDescent="0.25">
      <c r="D5" t="s">
        <v>7</v>
      </c>
      <c r="E5" s="7">
        <f t="shared" si="0"/>
        <v>3820.97</v>
      </c>
      <c r="F5" s="8">
        <f t="shared" si="1"/>
        <v>3927.05</v>
      </c>
      <c r="G5" s="7">
        <v>1884.15</v>
      </c>
      <c r="H5" s="8">
        <v>2083.1999999999998</v>
      </c>
      <c r="I5" s="7">
        <v>1928.1</v>
      </c>
      <c r="J5" s="8">
        <v>1607.8</v>
      </c>
      <c r="K5" s="9">
        <v>0</v>
      </c>
      <c r="L5" s="8">
        <v>236</v>
      </c>
      <c r="M5" s="8"/>
      <c r="N5" s="8"/>
      <c r="O5" s="7">
        <v>8.7200000000000006</v>
      </c>
      <c r="P5" s="8">
        <v>0.05</v>
      </c>
    </row>
    <row r="6" spans="4:16" x14ac:dyDescent="0.25">
      <c r="D6" t="s">
        <v>8</v>
      </c>
      <c r="E6" s="7">
        <f t="shared" si="0"/>
        <v>2581.56</v>
      </c>
      <c r="F6" s="8">
        <f>H6+J6+P6+L6+N6</f>
        <v>2507.64</v>
      </c>
      <c r="G6" s="7">
        <v>971.5</v>
      </c>
      <c r="H6" s="8">
        <v>613.6</v>
      </c>
      <c r="I6" s="7">
        <v>1598.15</v>
      </c>
      <c r="J6" s="8">
        <v>798</v>
      </c>
      <c r="K6" s="9">
        <v>0</v>
      </c>
      <c r="L6" s="8">
        <v>85</v>
      </c>
      <c r="M6" s="8"/>
      <c r="N6" s="8">
        <v>111</v>
      </c>
      <c r="O6" s="7">
        <v>11.91</v>
      </c>
      <c r="P6" s="8">
        <f>900+0.04</f>
        <v>900.04</v>
      </c>
    </row>
    <row r="7" spans="4:16" x14ac:dyDescent="0.25">
      <c r="D7" t="s">
        <v>9</v>
      </c>
      <c r="E7" s="7">
        <f t="shared" si="0"/>
        <v>4003.45</v>
      </c>
      <c r="F7" s="8">
        <f t="shared" ref="F7:F15" si="2">H7+J7+P7+L7+N7</f>
        <v>1266.1100000000001</v>
      </c>
      <c r="G7" s="7">
        <v>144.30000000000001</v>
      </c>
      <c r="H7" s="8">
        <v>147.15</v>
      </c>
      <c r="I7" s="7">
        <v>1059.0999999999999</v>
      </c>
      <c r="J7" s="8">
        <v>992</v>
      </c>
      <c r="K7" s="9">
        <v>0</v>
      </c>
      <c r="L7" s="8">
        <v>50</v>
      </c>
      <c r="M7" s="8"/>
      <c r="N7" s="8">
        <v>60</v>
      </c>
      <c r="O7" s="7">
        <v>2800.05</v>
      </c>
      <c r="P7" s="8">
        <f>0.04+16.92</f>
        <v>16.96</v>
      </c>
    </row>
    <row r="8" spans="4:16" x14ac:dyDescent="0.25">
      <c r="D8" t="s">
        <v>10</v>
      </c>
      <c r="E8" s="7">
        <f t="shared" si="0"/>
        <v>3077.93</v>
      </c>
      <c r="F8" s="8">
        <f t="shared" si="2"/>
        <v>4373.4000000000005</v>
      </c>
      <c r="G8" s="7">
        <v>218.35</v>
      </c>
      <c r="H8" s="8">
        <v>244.3</v>
      </c>
      <c r="I8" s="7">
        <v>2372</v>
      </c>
      <c r="J8" s="8">
        <v>867.1</v>
      </c>
      <c r="K8" s="9">
        <v>0</v>
      </c>
      <c r="L8" s="8">
        <v>153</v>
      </c>
      <c r="M8" s="8"/>
      <c r="N8" s="8">
        <v>850.55</v>
      </c>
      <c r="O8" s="7">
        <v>487.58</v>
      </c>
      <c r="P8" s="8">
        <f>0.04+2166.61+77.26+14.54</f>
        <v>2258.4500000000003</v>
      </c>
    </row>
    <row r="9" spans="4:16" x14ac:dyDescent="0.25">
      <c r="D9" t="s">
        <v>11</v>
      </c>
      <c r="E9" s="7">
        <f t="shared" si="0"/>
        <v>1463.07</v>
      </c>
      <c r="F9" s="8">
        <f t="shared" si="2"/>
        <v>0</v>
      </c>
      <c r="G9" s="7">
        <v>264.55</v>
      </c>
      <c r="H9" s="8"/>
      <c r="I9" s="7">
        <v>1184.2</v>
      </c>
      <c r="J9" s="8"/>
      <c r="K9" s="9">
        <v>0</v>
      </c>
      <c r="L9" s="8"/>
      <c r="M9" s="8"/>
      <c r="N9" s="8"/>
      <c r="O9" s="7">
        <v>14.32</v>
      </c>
      <c r="P9" s="8"/>
    </row>
    <row r="10" spans="4:16" x14ac:dyDescent="0.25">
      <c r="D10" t="s">
        <v>12</v>
      </c>
      <c r="E10" s="7">
        <f t="shared" si="0"/>
        <v>1277.49</v>
      </c>
      <c r="F10" s="8">
        <f t="shared" si="2"/>
        <v>0</v>
      </c>
      <c r="G10" s="7">
        <v>170.25</v>
      </c>
      <c r="H10" s="8"/>
      <c r="I10" s="7">
        <v>694.9</v>
      </c>
      <c r="J10" s="8"/>
      <c r="K10" s="9">
        <v>0</v>
      </c>
      <c r="L10" s="8"/>
      <c r="M10" s="8"/>
      <c r="N10" s="8"/>
      <c r="O10" s="7">
        <v>412.34</v>
      </c>
      <c r="P10" s="8"/>
    </row>
    <row r="11" spans="4:16" x14ac:dyDescent="0.25">
      <c r="D11" t="s">
        <v>13</v>
      </c>
      <c r="E11" s="7">
        <f t="shared" si="0"/>
        <v>1488.53</v>
      </c>
      <c r="F11" s="8">
        <f t="shared" si="2"/>
        <v>0</v>
      </c>
      <c r="G11" s="7">
        <v>241.25</v>
      </c>
      <c r="H11" s="8"/>
      <c r="I11" s="7">
        <v>1026.99</v>
      </c>
      <c r="J11" s="8"/>
      <c r="K11" s="9">
        <v>0</v>
      </c>
      <c r="L11" s="8"/>
      <c r="M11" s="8"/>
      <c r="N11" s="8"/>
      <c r="O11" s="7">
        <v>220.29</v>
      </c>
      <c r="P11" s="8"/>
    </row>
    <row r="12" spans="4:16" x14ac:dyDescent="0.25">
      <c r="D12" t="s">
        <v>14</v>
      </c>
      <c r="E12" s="7">
        <f t="shared" si="0"/>
        <v>848.41</v>
      </c>
      <c r="F12" s="8">
        <f t="shared" si="2"/>
        <v>0</v>
      </c>
      <c r="G12" s="7">
        <v>24.05</v>
      </c>
      <c r="H12" s="8"/>
      <c r="I12" s="7">
        <v>810</v>
      </c>
      <c r="J12" s="8"/>
      <c r="K12" s="9">
        <v>0</v>
      </c>
      <c r="L12" s="8"/>
      <c r="M12" s="8"/>
      <c r="N12" s="8"/>
      <c r="O12" s="7">
        <v>14.36</v>
      </c>
      <c r="P12" s="8"/>
    </row>
    <row r="13" spans="4:16" x14ac:dyDescent="0.25">
      <c r="D13" t="s">
        <v>15</v>
      </c>
      <c r="E13" s="7">
        <f t="shared" si="0"/>
        <v>1597.37</v>
      </c>
      <c r="F13" s="8">
        <f t="shared" si="2"/>
        <v>0</v>
      </c>
      <c r="G13" s="7">
        <v>193.35</v>
      </c>
      <c r="H13" s="8"/>
      <c r="I13" s="7">
        <v>1124</v>
      </c>
      <c r="J13" s="8"/>
      <c r="K13" s="9">
        <v>0</v>
      </c>
      <c r="L13" s="8"/>
      <c r="M13" s="8"/>
      <c r="N13" s="8"/>
      <c r="O13" s="7">
        <v>280.02</v>
      </c>
      <c r="P13" s="8"/>
    </row>
    <row r="14" spans="4:16" x14ac:dyDescent="0.25">
      <c r="D14" t="s">
        <v>16</v>
      </c>
      <c r="E14" s="7">
        <f t="shared" si="0"/>
        <v>1596.5700000000002</v>
      </c>
      <c r="F14" s="8">
        <f t="shared" si="2"/>
        <v>0</v>
      </c>
      <c r="G14" s="7">
        <v>366.45</v>
      </c>
      <c r="H14" s="8"/>
      <c r="I14" s="7">
        <v>1138.4000000000001</v>
      </c>
      <c r="J14" s="8"/>
      <c r="K14" s="9">
        <v>0</v>
      </c>
      <c r="L14" s="8"/>
      <c r="M14" s="8"/>
      <c r="N14" s="8"/>
      <c r="O14" s="7">
        <v>91.72</v>
      </c>
      <c r="P14" s="8"/>
    </row>
    <row r="15" spans="4:16" x14ac:dyDescent="0.25">
      <c r="D15" t="s">
        <v>17</v>
      </c>
      <c r="E15" s="7">
        <f t="shared" si="0"/>
        <v>4692.59</v>
      </c>
      <c r="F15" s="8">
        <f t="shared" si="2"/>
        <v>0</v>
      </c>
      <c r="G15" s="7">
        <v>3071.7</v>
      </c>
      <c r="H15" s="8"/>
      <c r="I15" s="7">
        <v>1609.8</v>
      </c>
      <c r="J15" s="8"/>
      <c r="K15" s="9">
        <v>0</v>
      </c>
      <c r="L15" s="8"/>
      <c r="M15" s="8"/>
      <c r="N15" s="8"/>
      <c r="O15" s="7">
        <v>11.09</v>
      </c>
      <c r="P15" s="8"/>
    </row>
    <row r="16" spans="4:16" x14ac:dyDescent="0.25">
      <c r="E16" s="7"/>
      <c r="F16" s="8"/>
      <c r="G16" s="7"/>
      <c r="H16" s="8"/>
      <c r="I16" s="7"/>
      <c r="J16" s="8"/>
      <c r="K16" s="9"/>
      <c r="L16" s="8"/>
      <c r="M16" s="8"/>
      <c r="N16" s="8"/>
      <c r="O16" s="7"/>
      <c r="P16" s="8"/>
    </row>
    <row r="17" spans="3:16" x14ac:dyDescent="0.25">
      <c r="C17" t="s">
        <v>18</v>
      </c>
      <c r="E17" s="9">
        <f>SUM(E4:E16)</f>
        <v>32545.019999999997</v>
      </c>
      <c r="F17" s="8">
        <f t="shared" ref="F17:P17" si="3">SUM(F4:F16)</f>
        <v>19477.830000000002</v>
      </c>
      <c r="G17" s="9">
        <f>SUM(G4:G15)</f>
        <v>12116.920000000002</v>
      </c>
      <c r="H17" s="8">
        <f t="shared" si="3"/>
        <v>8353.2999999999993</v>
      </c>
      <c r="I17" s="7">
        <f>SUM(I4:I15)</f>
        <v>15075.64</v>
      </c>
      <c r="J17" s="8">
        <f t="shared" si="3"/>
        <v>4478.9000000000005</v>
      </c>
      <c r="K17" s="8">
        <f t="shared" si="3"/>
        <v>0</v>
      </c>
      <c r="L17" s="8">
        <f t="shared" si="3"/>
        <v>524</v>
      </c>
      <c r="M17" s="8"/>
      <c r="N17" s="8"/>
      <c r="O17" s="7">
        <f>SUM(O4:O15)</f>
        <v>5352.46</v>
      </c>
      <c r="P17" s="8">
        <f t="shared" si="3"/>
        <v>5100.08</v>
      </c>
    </row>
    <row r="18" spans="3:16" x14ac:dyDescent="0.25">
      <c r="C18" t="s">
        <v>19</v>
      </c>
      <c r="E18" s="7">
        <f>SUM(E4:E15)</f>
        <v>32545.019999999997</v>
      </c>
      <c r="F18" s="7"/>
      <c r="G18" s="7">
        <f>SUM(G4:G15)</f>
        <v>12116.920000000002</v>
      </c>
      <c r="H18" s="7"/>
      <c r="I18" s="7">
        <f>SUM(I4:I15)</f>
        <v>15075.64</v>
      </c>
      <c r="J18" s="7"/>
      <c r="K18" s="9"/>
      <c r="L18" s="7"/>
      <c r="M18" s="7"/>
      <c r="N18" s="7"/>
      <c r="O18" s="7">
        <f>SUM(O4:O15)</f>
        <v>5352.46</v>
      </c>
      <c r="P18" s="7"/>
    </row>
  </sheetData>
  <pageMargins left="0.70866141732283472" right="0.70866141732283472" top="0.74803149606299213" bottom="0.74803149606299213" header="0.31496062992125984" footer="0.31496062992125984"/>
  <pageSetup paperSize="9" scale="66" orientation="landscape" cellComments="asDisplayed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Costs</vt:lpstr>
      <vt:lpstr>Cashbook</vt:lpstr>
      <vt:lpstr>Income</vt:lpstr>
      <vt:lpstr>Cashbook!Print_Area</vt:lpstr>
      <vt:lpstr>Costs!Print_Area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2018-06-03T23:15:23Z</dcterms:created>
  <dcterms:modified xsi:type="dcterms:W3CDTF">2018-06-03T23:16:47Z</dcterms:modified>
</cp:coreProperties>
</file>