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U3A Treasurer\Reports 2018\"/>
    </mc:Choice>
  </mc:AlternateContent>
  <xr:revisionPtr revIDLastSave="0" documentId="8_{BD8AD13B-57C2-4436-BFF3-49CF2050A37C}" xr6:coauthVersionLast="34" xr6:coauthVersionMax="34" xr10:uidLastSave="{00000000-0000-0000-0000-000000000000}"/>
  <bookViews>
    <workbookView xWindow="0" yWindow="0" windowWidth="20490" windowHeight="6945" activeTab="1" xr2:uid="{798AA08E-186E-45AD-B89D-98979B193F9E}"/>
  </bookViews>
  <sheets>
    <sheet name="Income" sheetId="3" r:id="rId1"/>
    <sheet name="Cash Book" sheetId="2" r:id="rId2"/>
    <sheet name="Costs" sheetId="1" r:id="rId3"/>
  </sheets>
  <externalReferences>
    <externalReference r:id="rId4"/>
  </externalReferences>
  <definedNames>
    <definedName name="_xlnm.Print_Area" localSheetId="1">'Cash Book'!$C$3:$M$65</definedName>
    <definedName name="_xlnm.Print_Area" localSheetId="2">Costs!$C$1:$N$36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3" l="1"/>
  <c r="I18" i="3"/>
  <c r="G18" i="3"/>
  <c r="O17" i="3"/>
  <c r="L17" i="3"/>
  <c r="K17" i="3"/>
  <c r="I17" i="3"/>
  <c r="H17" i="3"/>
  <c r="G17" i="3"/>
  <c r="F15" i="3"/>
  <c r="E15" i="3"/>
  <c r="F14" i="3"/>
  <c r="E14" i="3"/>
  <c r="F13" i="3"/>
  <c r="E13" i="3"/>
  <c r="F12" i="3"/>
  <c r="E12" i="3"/>
  <c r="P11" i="3"/>
  <c r="F11" i="3" s="1"/>
  <c r="E11" i="3"/>
  <c r="P10" i="3"/>
  <c r="F10" i="3"/>
  <c r="E10" i="3"/>
  <c r="P9" i="3"/>
  <c r="F9" i="3" s="1"/>
  <c r="E9" i="3"/>
  <c r="P8" i="3"/>
  <c r="F8" i="3"/>
  <c r="E8" i="3"/>
  <c r="P7" i="3"/>
  <c r="F7" i="3" s="1"/>
  <c r="E7" i="3"/>
  <c r="P6" i="3"/>
  <c r="F6" i="3"/>
  <c r="E6" i="3"/>
  <c r="F5" i="3"/>
  <c r="E5" i="3"/>
  <c r="P4" i="3"/>
  <c r="P17" i="3" s="1"/>
  <c r="J4" i="3"/>
  <c r="J17" i="3" s="1"/>
  <c r="F4" i="3"/>
  <c r="E4" i="3"/>
  <c r="E18" i="3" s="1"/>
  <c r="K60" i="2"/>
  <c r="K57" i="2"/>
  <c r="D55" i="2"/>
  <c r="D54" i="2"/>
  <c r="D51" i="2"/>
  <c r="M50" i="2"/>
  <c r="M51" i="2" s="1"/>
  <c r="M54" i="2" s="1"/>
  <c r="D52" i="2" s="1"/>
  <c r="L50" i="2"/>
  <c r="K35" i="2"/>
  <c r="D44" i="2" s="1"/>
  <c r="H11" i="2"/>
  <c r="H10" i="2"/>
  <c r="H9" i="2"/>
  <c r="H8" i="2"/>
  <c r="H7" i="2"/>
  <c r="H6" i="2"/>
  <c r="H14" i="2" s="1"/>
  <c r="D41" i="2" s="1"/>
  <c r="D45" i="2" s="1"/>
  <c r="H5" i="2"/>
  <c r="E33" i="1"/>
  <c r="K31" i="1"/>
  <c r="J31" i="1"/>
  <c r="F31" i="1"/>
  <c r="K30" i="1"/>
  <c r="J30" i="1"/>
  <c r="J29" i="1"/>
  <c r="K28" i="1"/>
  <c r="J28" i="1"/>
  <c r="F28" i="1"/>
  <c r="K27" i="1"/>
  <c r="F27" i="1"/>
  <c r="J27" i="1" s="1"/>
  <c r="K26" i="1"/>
  <c r="J26" i="1"/>
  <c r="F26" i="1"/>
  <c r="K25" i="1"/>
  <c r="F25" i="1"/>
  <c r="J25" i="1" s="1"/>
  <c r="K24" i="1"/>
  <c r="K33" i="1" s="1"/>
  <c r="J24" i="1"/>
  <c r="F24" i="1"/>
  <c r="F33" i="1" s="1"/>
  <c r="K20" i="1"/>
  <c r="K19" i="1"/>
  <c r="K18" i="1"/>
  <c r="K17" i="1"/>
  <c r="J17" i="1"/>
  <c r="F17" i="1"/>
  <c r="K16" i="1"/>
  <c r="J16" i="1"/>
  <c r="K15" i="1"/>
  <c r="F15" i="1"/>
  <c r="J15" i="1" s="1"/>
  <c r="F14" i="1"/>
  <c r="J14" i="1" s="1"/>
  <c r="K13" i="1"/>
  <c r="J13" i="1"/>
  <c r="F13" i="1"/>
  <c r="K12" i="1"/>
  <c r="F12" i="1"/>
  <c r="J12" i="1" s="1"/>
  <c r="J11" i="1"/>
  <c r="J10" i="1"/>
  <c r="J9" i="1"/>
  <c r="K8" i="1"/>
  <c r="F8" i="1"/>
  <c r="J8" i="1" s="1"/>
  <c r="K7" i="1"/>
  <c r="E7" i="1"/>
  <c r="E21" i="1" s="1"/>
  <c r="E35" i="1" s="1"/>
  <c r="K6" i="1"/>
  <c r="J6" i="1"/>
  <c r="F6" i="1"/>
  <c r="K5" i="1"/>
  <c r="K21" i="1" s="1"/>
  <c r="F5" i="1"/>
  <c r="J5" i="1" s="1"/>
  <c r="F17" i="3" l="1"/>
  <c r="E17" i="3"/>
  <c r="D57" i="2"/>
  <c r="K35" i="1"/>
  <c r="J33" i="1"/>
  <c r="F21" i="1"/>
  <c r="F35" i="1" s="1"/>
  <c r="F7" i="1"/>
  <c r="J7" i="1" s="1"/>
  <c r="J21" i="1" s="1"/>
  <c r="J35" i="1" s="1"/>
  <c r="F60" i="2" l="1"/>
  <c r="K61" i="2" s="1"/>
  <c r="F57" i="2"/>
  <c r="K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P4" authorId="0" shapeId="0" xr:uid="{24732123-F4B8-4DA1-9B8D-73D7249CF15B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Christmas Lunch, Grant. Interest</t>
        </r>
      </text>
    </comment>
    <comment ref="P6" authorId="0" shapeId="0" xr:uid="{4680145D-9B6D-4410-8C9B-A51F9E729D98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Seniors Festival grant $900
</t>
        </r>
      </text>
    </comment>
    <comment ref="P8" authorId="0" shapeId="0" xr:uid="{AB234BDE-08A7-4E35-AA1A-C619579BBC1B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Bus trip, interest</t>
        </r>
      </text>
    </comment>
    <comment ref="P10" authorId="0" shapeId="0" xr:uid="{409794BD-4FC2-4598-B08F-DEC74FE926F7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21st High Tea
Bank Interest T.D.</t>
        </r>
      </text>
    </comment>
    <comment ref="F11" authorId="0" shapeId="0" xr:uid="{F4443630-6A3F-4B5E-91CD-585AD515F845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Includes float $100 &amp; debit card inks $23.99
</t>
        </r>
      </text>
    </comment>
    <comment ref="P11" authorId="0" shapeId="0" xr:uid="{3CD91E62-BC68-4402-B3C2-F41A2D86ECA3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21st, bank interest $91.61+ $9.91+$0.04
unidentified deposit, cash float returned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K13" authorId="0" shapeId="0" xr:uid="{97DA92E2-2674-4994-B712-5C8AA79FEA3B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Seniors Festival
Mogo Bus Trip
21st High Tea</t>
        </r>
      </text>
    </comment>
    <comment ref="K16" authorId="0" shapeId="0" xr:uid="{761A549C-AFD9-42D1-9F64-A0597CBA7725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banner
card tables
</t>
        </r>
      </text>
    </comment>
    <comment ref="K17" authorId="0" shapeId="0" xr:uid="{BB7C87B2-19FE-4F5B-97A8-AE1B75877D75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power Board
flash drives
Movie Tickets
Fair Trading Fee
Banner
Fuel Card</t>
        </r>
      </text>
    </comment>
    <comment ref="K28" authorId="0" shapeId="0" xr:uid="{30D9D583-CE64-47BE-BC7A-AE4FE9D7EEAB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Includes carpet clean</t>
        </r>
      </text>
    </comment>
    <comment ref="K31" authorId="0" shapeId="0" xr:uid="{6857DCC1-21CA-4468-866A-655020A95932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Urn</t>
        </r>
      </text>
    </comment>
  </commentList>
</comments>
</file>

<file path=xl/sharedStrings.xml><?xml version="1.0" encoding="utf-8"?>
<sst xmlns="http://schemas.openxmlformats.org/spreadsheetml/2006/main" count="119" uniqueCount="99">
  <si>
    <t>Full Year</t>
  </si>
  <si>
    <t>Budget</t>
  </si>
  <si>
    <t xml:space="preserve">Year to date </t>
  </si>
  <si>
    <t>Year to date</t>
  </si>
  <si>
    <t>Administrative Expenses</t>
  </si>
  <si>
    <t>CPI 1.9%</t>
  </si>
  <si>
    <t>Postage/PO Box</t>
  </si>
  <si>
    <t>Stationery &amp; Printing</t>
  </si>
  <si>
    <t>NSW U3A Network /MyU3A fees</t>
  </si>
  <si>
    <t>Insurances</t>
  </si>
  <si>
    <t>Newspapers</t>
  </si>
  <si>
    <t>Advertising</t>
  </si>
  <si>
    <t>Audit</t>
  </si>
  <si>
    <t>External catering &amp; Room Hire</t>
  </si>
  <si>
    <t>One off events</t>
  </si>
  <si>
    <t>NSW Network Conference</t>
  </si>
  <si>
    <t>Membership Refunds</t>
  </si>
  <si>
    <t>Asset Purchases</t>
  </si>
  <si>
    <t>Misc.</t>
  </si>
  <si>
    <t>Bega Venues</t>
  </si>
  <si>
    <t>Library Venue Hire</t>
  </si>
  <si>
    <t>Mobile Phone</t>
  </si>
  <si>
    <t>Total Admin Expenses</t>
  </si>
  <si>
    <t>U3A Centre Tura Beach Expenses</t>
  </si>
  <si>
    <t>Rates/Water/Electricity</t>
  </si>
  <si>
    <t>Telstra</t>
  </si>
  <si>
    <t>Rent</t>
  </si>
  <si>
    <t>Insurance</t>
  </si>
  <si>
    <t>Cleaning</t>
  </si>
  <si>
    <t>Petty Cash</t>
  </si>
  <si>
    <t>Maintenance</t>
  </si>
  <si>
    <t>Total Tura Centre Expenses</t>
  </si>
  <si>
    <t>Grand Total Expenses</t>
  </si>
  <si>
    <t xml:space="preserve">U3A Sapphire Coast Treasurer's Report  </t>
  </si>
  <si>
    <t>August</t>
  </si>
  <si>
    <t>Date</t>
  </si>
  <si>
    <t>Income</t>
  </si>
  <si>
    <t>membership</t>
  </si>
  <si>
    <t>U43A Centre Rental</t>
  </si>
  <si>
    <t>21st Celebration</t>
  </si>
  <si>
    <t>Tura Library Rental</t>
  </si>
  <si>
    <t>Bega Rental</t>
  </si>
  <si>
    <t>Unidentified Deposit</t>
  </si>
  <si>
    <t>Bank Interest</t>
  </si>
  <si>
    <t>21st Cash Float Returned</t>
  </si>
  <si>
    <t>Total Receipts</t>
  </si>
  <si>
    <t>Expenditure</t>
  </si>
  <si>
    <t>Payee</t>
  </si>
  <si>
    <t>Detail</t>
  </si>
  <si>
    <t>Chq No</t>
  </si>
  <si>
    <t>Amount</t>
  </si>
  <si>
    <t>Oaklands</t>
  </si>
  <si>
    <t>Fun House</t>
  </si>
  <si>
    <t>Bega Venue</t>
  </si>
  <si>
    <t>Matanuska</t>
  </si>
  <si>
    <t>Internet</t>
  </si>
  <si>
    <t>Amee Ingram</t>
  </si>
  <si>
    <t>Strata Plan 401765</t>
  </si>
  <si>
    <t>Water</t>
  </si>
  <si>
    <t>Fleur Dwyer</t>
  </si>
  <si>
    <t>Reimburse 21st expenses</t>
  </si>
  <si>
    <t>Origin</t>
  </si>
  <si>
    <t>electricity</t>
  </si>
  <si>
    <t>Debit Card</t>
  </si>
  <si>
    <t>Ink</t>
  </si>
  <si>
    <t>Total Payments</t>
  </si>
  <si>
    <t>Bank Reconciliation</t>
  </si>
  <si>
    <t xml:space="preserve">Cashbook opening balance </t>
  </si>
  <si>
    <t>Horizon C.A.</t>
  </si>
  <si>
    <t xml:space="preserve">Plus income </t>
  </si>
  <si>
    <t>Debit Cars</t>
  </si>
  <si>
    <t>less U/P chqs</t>
  </si>
  <si>
    <t>Less expenditure</t>
  </si>
  <si>
    <t>Statement of Current Assets</t>
  </si>
  <si>
    <t>Horizon C/A</t>
  </si>
  <si>
    <t>Horizon O/L</t>
  </si>
  <si>
    <t>Horizon TD</t>
  </si>
  <si>
    <t>Bendigo TD</t>
  </si>
  <si>
    <t>U/P cheques</t>
  </si>
  <si>
    <t>Compared to last month</t>
  </si>
  <si>
    <t>Net gain/loss</t>
  </si>
  <si>
    <t>Compared to last year</t>
  </si>
  <si>
    <t>Membership</t>
  </si>
  <si>
    <t>TBC Usage</t>
  </si>
  <si>
    <t>Bega Usage</t>
  </si>
  <si>
    <t>Library Usage</t>
  </si>
  <si>
    <t>Other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</si>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</sst>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14" fontId="4" fillId="2" borderId="0" xfId="0" applyNumberFormat="1" applyFont="1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ill="1"/>
    <xf numFmtId="2" fontId="7" fillId="0" borderId="0" xfId="1" applyNumberFormat="1" applyFont="1" applyAlignment="1" applyProtection="1"/>
    <xf numFmtId="0" fontId="0" fillId="0" borderId="0" xfId="0" applyBorder="1"/>
    <xf numFmtId="2" fontId="0" fillId="0" borderId="0" xfId="0" applyNumberFormat="1" applyBorder="1"/>
    <xf numFmtId="0" fontId="8" fillId="0" borderId="0" xfId="0" applyFont="1" applyBorder="1"/>
    <xf numFmtId="2" fontId="3" fillId="0" borderId="0" xfId="0" applyNumberFormat="1" applyFont="1" applyBorder="1"/>
    <xf numFmtId="2" fontId="0" fillId="0" borderId="0" xfId="0" applyNumberFormat="1" applyFill="1"/>
    <xf numFmtId="0" fontId="9" fillId="0" borderId="0" xfId="0" applyFont="1"/>
    <xf numFmtId="0" fontId="3" fillId="0" borderId="0" xfId="0" applyFont="1" applyBorder="1"/>
    <xf numFmtId="0" fontId="1" fillId="0" borderId="0" xfId="0" applyFont="1"/>
    <xf numFmtId="17" fontId="0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Font="1"/>
    <xf numFmtId="2" fontId="1" fillId="0" borderId="0" xfId="0" applyNumberFormat="1" applyFont="1" applyFill="1"/>
    <xf numFmtId="14" fontId="1" fillId="0" borderId="0" xfId="0" applyNumberFormat="1" applyFont="1" applyFill="1"/>
    <xf numFmtId="0" fontId="0" fillId="0" borderId="0" xfId="0" quotePrefix="1" applyFont="1" applyFill="1"/>
    <xf numFmtId="0" fontId="1" fillId="0" borderId="0" xfId="0" applyFont="1" applyFill="1"/>
    <xf numFmtId="2" fontId="0" fillId="0" borderId="0" xfId="0" applyNumberFormat="1" applyFont="1" applyFill="1"/>
    <xf numFmtId="0" fontId="0" fillId="0" borderId="0" xfId="0" applyFont="1" applyFill="1"/>
    <xf numFmtId="0" fontId="0" fillId="0" borderId="0" xfId="0" quotePrefix="1" applyFont="1" applyFill="1" applyAlignment="1">
      <alignment horizontal="left"/>
    </xf>
    <xf numFmtId="4" fontId="1" fillId="0" borderId="0" xfId="0" applyNumberFormat="1" applyFont="1" applyFill="1"/>
    <xf numFmtId="0" fontId="0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14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right" vertical="center"/>
    </xf>
    <xf numFmtId="14" fontId="0" fillId="0" borderId="0" xfId="0" applyNumberFormat="1" applyFont="1" applyFill="1"/>
    <xf numFmtId="2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2" fontId="0" fillId="0" borderId="0" xfId="0" applyNumberFormat="1" applyFont="1"/>
    <xf numFmtId="2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Fill="1" applyAlignment="1">
      <alignment horizontal="right"/>
    </xf>
    <xf numFmtId="4" fontId="5" fillId="0" borderId="0" xfId="0" applyNumberFormat="1" applyFont="1"/>
    <xf numFmtId="2" fontId="5" fillId="0" borderId="0" xfId="0" applyNumberFormat="1" applyFont="1"/>
    <xf numFmtId="2" fontId="1" fillId="0" borderId="0" xfId="0" applyNumberFormat="1" applyFont="1" applyBorder="1"/>
    <xf numFmtId="4" fontId="0" fillId="0" borderId="0" xfId="0" applyNumberFormat="1" applyFont="1"/>
    <xf numFmtId="0" fontId="2" fillId="0" borderId="0" xfId="0" applyFont="1"/>
    <xf numFmtId="2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4" fontId="1" fillId="2" borderId="0" xfId="0" applyNumberFormat="1" applyFont="1" applyFill="1"/>
    <xf numFmtId="4" fontId="12" fillId="2" borderId="1" xfId="0" applyNumberFormat="1" applyFont="1" applyFill="1" applyBorder="1"/>
    <xf numFmtId="0" fontId="12" fillId="2" borderId="0" xfId="0" applyFont="1" applyFill="1"/>
    <xf numFmtId="4" fontId="1" fillId="2" borderId="1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0" fillId="0" borderId="0" xfId="0" quotePrefix="1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14" fillId="0" borderId="0" xfId="0" applyFont="1"/>
    <xf numFmtId="2" fontId="13" fillId="0" borderId="0" xfId="0" applyNumberFormat="1" applyFont="1"/>
    <xf numFmtId="2" fontId="1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56</xdr:row>
      <xdr:rowOff>114300</xdr:rowOff>
    </xdr:from>
    <xdr:to>
      <xdr:col>4</xdr:col>
      <xdr:colOff>2390775</xdr:colOff>
      <xdr:row>58</xdr:row>
      <xdr:rowOff>133350</xdr:rowOff>
    </xdr:to>
    <xdr:cxnSp macro="">
      <xdr:nvCxnSpPr>
        <xdr:cNvPr id="2" name="Elbow Connector 1">
          <a:extLst>
            <a:ext uri="{FF2B5EF4-FFF2-40B4-BE49-F238E27FC236}">
              <a16:creationId xmlns:a16="http://schemas.microsoft.com/office/drawing/2014/main" id="{1C41B7B7-5BFF-436C-9ABC-4D006EBCB499}"/>
            </a:ext>
          </a:extLst>
        </xdr:cNvPr>
        <xdr:cNvCxnSpPr/>
      </xdr:nvCxnSpPr>
      <xdr:spPr>
        <a:xfrm>
          <a:off x="3848100" y="10782300"/>
          <a:ext cx="2371725" cy="4000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esktop/U3A%20Treasurer/Cash%20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2018 SUMMARY (2)"/>
      <sheetName val="Income summary"/>
      <sheetName val="Payment Summary"/>
      <sheetName val="Mar 16"/>
      <sheetName val="Apr 16"/>
      <sheetName val="May 16"/>
      <sheetName val="June"/>
      <sheetName val="July"/>
      <sheetName val="Aug"/>
      <sheetName val="September"/>
      <sheetName val="October"/>
      <sheetName val="November"/>
      <sheetName val="Nov Detailed"/>
      <sheetName val="December detailed"/>
      <sheetName val="December"/>
      <sheetName val="January Detaikled"/>
      <sheetName val="January summary"/>
      <sheetName val="February detailed"/>
      <sheetName val="February Summary"/>
      <sheetName val="March Detailed"/>
      <sheetName val="March Summary"/>
      <sheetName val="April Detailed"/>
      <sheetName val="April Summary"/>
      <sheetName val="May detailed"/>
      <sheetName val="May summary"/>
      <sheetName val="June detailed"/>
      <sheetName val="June Summary"/>
      <sheetName val="JulyDetailed"/>
      <sheetName val="July Summary"/>
      <sheetName val="August Detailed"/>
      <sheetName val="August Summary"/>
      <sheetName val="September Detailed"/>
      <sheetName val="September Summary"/>
      <sheetName val="October DEtailed"/>
      <sheetName val="October Summary"/>
      <sheetName val="November Detailed"/>
      <sheetName val="November Summary"/>
      <sheetName val="December 17 Detailed"/>
      <sheetName val="December 17 Summary"/>
      <sheetName val="January 2018 detaled"/>
      <sheetName val="January 2018 Summary"/>
      <sheetName val="February 2018 detaled "/>
      <sheetName val="February 2018 Summary"/>
      <sheetName val="March 2018 detaled  "/>
      <sheetName val="March 2018 Summary"/>
      <sheetName val="April 2018 DEtailed"/>
      <sheetName val="April 2018 Summary"/>
      <sheetName val="May 2018 Detailed"/>
      <sheetName val="May 2018 Summary"/>
      <sheetName val="June 2018 detailed"/>
      <sheetName val="June 2018 Summary"/>
      <sheetName val="July Detailed"/>
      <sheetName val="July 2018 Summary"/>
      <sheetName val="August 2018 detailed"/>
      <sheetName val="AUGUST 2018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9">
          <cell r="F69">
            <v>57096.35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4">
          <cell r="F64">
            <v>55472.020000000004</v>
          </cell>
        </row>
      </sheetData>
      <sheetData sheetId="53">
        <row r="6">
          <cell r="H6">
            <v>72.150000000000006</v>
          </cell>
        </row>
        <row r="7">
          <cell r="H7">
            <v>153</v>
          </cell>
        </row>
        <row r="8">
          <cell r="H8">
            <v>24.05</v>
          </cell>
        </row>
        <row r="9">
          <cell r="H9">
            <v>75</v>
          </cell>
        </row>
        <row r="10">
          <cell r="H10">
            <v>30</v>
          </cell>
        </row>
        <row r="11">
          <cell r="H11">
            <v>18</v>
          </cell>
        </row>
        <row r="12">
          <cell r="H12">
            <v>14</v>
          </cell>
        </row>
        <row r="13">
          <cell r="H13">
            <v>12</v>
          </cell>
        </row>
        <row r="14">
          <cell r="H14">
            <v>207</v>
          </cell>
        </row>
        <row r="15">
          <cell r="H15">
            <v>172</v>
          </cell>
        </row>
        <row r="16">
          <cell r="H16">
            <v>120</v>
          </cell>
        </row>
        <row r="17">
          <cell r="H17">
            <v>36</v>
          </cell>
        </row>
        <row r="18">
          <cell r="H18">
            <v>9</v>
          </cell>
        </row>
        <row r="19">
          <cell r="H19">
            <v>24.05</v>
          </cell>
        </row>
        <row r="20">
          <cell r="H20">
            <v>676.01</v>
          </cell>
        </row>
        <row r="21">
          <cell r="H21">
            <v>75</v>
          </cell>
        </row>
        <row r="22">
          <cell r="H22">
            <v>114</v>
          </cell>
        </row>
        <row r="23">
          <cell r="H23">
            <v>33</v>
          </cell>
        </row>
        <row r="24">
          <cell r="H24">
            <v>15</v>
          </cell>
        </row>
        <row r="25">
          <cell r="H25">
            <v>42</v>
          </cell>
        </row>
        <row r="26">
          <cell r="H26">
            <v>20</v>
          </cell>
        </row>
        <row r="27">
          <cell r="H27">
            <v>25</v>
          </cell>
        </row>
        <row r="28">
          <cell r="H28">
            <v>25</v>
          </cell>
        </row>
        <row r="29">
          <cell r="H29">
            <v>51</v>
          </cell>
        </row>
        <row r="30">
          <cell r="H30">
            <v>15</v>
          </cell>
        </row>
        <row r="31">
          <cell r="H31">
            <v>18</v>
          </cell>
        </row>
        <row r="32">
          <cell r="H32">
            <v>20</v>
          </cell>
        </row>
        <row r="33">
          <cell r="H33">
            <v>9</v>
          </cell>
        </row>
        <row r="34">
          <cell r="H34">
            <v>15</v>
          </cell>
        </row>
        <row r="35">
          <cell r="H35">
            <v>111</v>
          </cell>
        </row>
        <row r="36">
          <cell r="H36">
            <v>24.05</v>
          </cell>
        </row>
        <row r="37">
          <cell r="H37">
            <v>48.2</v>
          </cell>
        </row>
        <row r="38">
          <cell r="H38">
            <v>25</v>
          </cell>
        </row>
        <row r="39">
          <cell r="H39">
            <v>16</v>
          </cell>
        </row>
        <row r="40">
          <cell r="H40">
            <v>18</v>
          </cell>
        </row>
        <row r="41">
          <cell r="H41">
            <v>14</v>
          </cell>
        </row>
        <row r="42">
          <cell r="H42">
            <v>18</v>
          </cell>
        </row>
        <row r="43">
          <cell r="H43">
            <v>24.05</v>
          </cell>
        </row>
        <row r="44">
          <cell r="H44">
            <v>25</v>
          </cell>
        </row>
        <row r="45">
          <cell r="H45">
            <v>18</v>
          </cell>
        </row>
        <row r="46">
          <cell r="H46">
            <v>57</v>
          </cell>
        </row>
        <row r="47">
          <cell r="H47">
            <v>16</v>
          </cell>
        </row>
        <row r="48">
          <cell r="H48">
            <v>24</v>
          </cell>
        </row>
        <row r="49">
          <cell r="H49">
            <v>20</v>
          </cell>
        </row>
        <row r="50">
          <cell r="H50">
            <v>18</v>
          </cell>
        </row>
        <row r="51">
          <cell r="H51">
            <v>99</v>
          </cell>
        </row>
        <row r="52">
          <cell r="H52">
            <v>0.04</v>
          </cell>
        </row>
      </sheetData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EF68-293F-462A-B00C-B074992417C7}">
  <sheetPr>
    <pageSetUpPr fitToPage="1"/>
  </sheetPr>
  <dimension ref="C1:P18"/>
  <sheetViews>
    <sheetView topLeftCell="C1" workbookViewId="0">
      <selection activeCell="K9" sqref="K9:L11"/>
    </sheetView>
  </sheetViews>
  <sheetFormatPr defaultRowHeight="15" x14ac:dyDescent="0.25"/>
  <cols>
    <col min="4" max="4" width="5.42578125" bestFit="1" customWidth="1"/>
    <col min="5" max="6" width="13.5703125" bestFit="1" customWidth="1"/>
    <col min="7" max="8" width="12.28515625" bestFit="1" customWidth="1"/>
    <col min="9" max="10" width="10" bestFit="1" customWidth="1"/>
    <col min="11" max="12" width="11" bestFit="1" customWidth="1"/>
    <col min="13" max="14" width="12.7109375" bestFit="1" customWidth="1"/>
  </cols>
  <sheetData>
    <row r="1" spans="4:16" x14ac:dyDescent="0.25">
      <c r="E1" s="2">
        <v>2017</v>
      </c>
      <c r="F1" s="60">
        <v>2018</v>
      </c>
      <c r="G1" s="2">
        <v>2017</v>
      </c>
      <c r="H1" s="60">
        <v>2018</v>
      </c>
      <c r="I1" s="2">
        <v>2017</v>
      </c>
      <c r="J1" s="60">
        <v>2018</v>
      </c>
      <c r="K1" s="61">
        <v>2017</v>
      </c>
      <c r="L1" s="60">
        <v>2018</v>
      </c>
      <c r="M1" s="61">
        <v>2017</v>
      </c>
      <c r="N1" s="60">
        <v>2018</v>
      </c>
      <c r="O1" s="2">
        <v>2017</v>
      </c>
      <c r="P1" s="60">
        <v>2018</v>
      </c>
    </row>
    <row r="2" spans="4:16" x14ac:dyDescent="0.25">
      <c r="F2" s="62"/>
      <c r="H2" s="62"/>
      <c r="J2" s="62"/>
      <c r="K2" s="63"/>
      <c r="L2" s="62"/>
      <c r="M2" s="62"/>
      <c r="N2" s="62"/>
      <c r="P2" s="62"/>
    </row>
    <row r="3" spans="4:16" x14ac:dyDescent="0.25">
      <c r="E3" t="s">
        <v>45</v>
      </c>
      <c r="F3" s="62" t="s">
        <v>45</v>
      </c>
      <c r="G3" t="s">
        <v>82</v>
      </c>
      <c r="H3" s="62" t="s">
        <v>82</v>
      </c>
      <c r="I3" t="s">
        <v>83</v>
      </c>
      <c r="J3" s="62" t="s">
        <v>83</v>
      </c>
      <c r="K3" s="63" t="s">
        <v>84</v>
      </c>
      <c r="L3" s="62" t="s">
        <v>84</v>
      </c>
      <c r="M3" s="63" t="s">
        <v>85</v>
      </c>
      <c r="N3" s="64" t="s">
        <v>85</v>
      </c>
      <c r="O3" s="2" t="s">
        <v>86</v>
      </c>
      <c r="P3" s="60" t="s">
        <v>86</v>
      </c>
    </row>
    <row r="4" spans="4:16" x14ac:dyDescent="0.25">
      <c r="D4" t="s">
        <v>87</v>
      </c>
      <c r="E4" s="5">
        <f t="shared" ref="E4:E15" si="0">G4+I4+O4</f>
        <v>6097.08</v>
      </c>
      <c r="F4" s="65">
        <f t="shared" ref="F4:F5" si="1">H4+J4+P4+L4+N4</f>
        <v>7403.63</v>
      </c>
      <c r="G4" s="5">
        <v>4567.0200000000004</v>
      </c>
      <c r="H4" s="65">
        <v>5265.05</v>
      </c>
      <c r="I4" s="5">
        <v>530</v>
      </c>
      <c r="J4" s="65">
        <f>214</f>
        <v>214</v>
      </c>
      <c r="K4" s="66">
        <v>0</v>
      </c>
      <c r="L4" s="65"/>
      <c r="M4" s="65"/>
      <c r="N4" s="65"/>
      <c r="O4" s="5">
        <v>1000.06</v>
      </c>
      <c r="P4" s="65">
        <f>1044.52+880+0.06</f>
        <v>1924.58</v>
      </c>
    </row>
    <row r="5" spans="4:16" x14ac:dyDescent="0.25">
      <c r="D5" t="s">
        <v>88</v>
      </c>
      <c r="E5" s="5">
        <f t="shared" si="0"/>
        <v>3820.97</v>
      </c>
      <c r="F5" s="65">
        <f t="shared" si="1"/>
        <v>3927.05</v>
      </c>
      <c r="G5" s="5">
        <v>1884.15</v>
      </c>
      <c r="H5" s="65">
        <v>2083.1999999999998</v>
      </c>
      <c r="I5" s="5">
        <v>1928.1</v>
      </c>
      <c r="J5" s="65">
        <v>1607.8</v>
      </c>
      <c r="K5" s="66">
        <v>0</v>
      </c>
      <c r="L5" s="65">
        <v>236</v>
      </c>
      <c r="M5" s="65"/>
      <c r="N5" s="65"/>
      <c r="O5" s="5">
        <v>8.7200000000000006</v>
      </c>
      <c r="P5" s="65">
        <v>0.05</v>
      </c>
    </row>
    <row r="6" spans="4:16" x14ac:dyDescent="0.25">
      <c r="D6" t="s">
        <v>89</v>
      </c>
      <c r="E6" s="5">
        <f t="shared" si="0"/>
        <v>2581.56</v>
      </c>
      <c r="F6" s="65">
        <f>H6+J6+P6+L6+N6</f>
        <v>2507.64</v>
      </c>
      <c r="G6" s="5">
        <v>971.5</v>
      </c>
      <c r="H6" s="65">
        <v>613.6</v>
      </c>
      <c r="I6" s="5">
        <v>1598.15</v>
      </c>
      <c r="J6" s="65">
        <v>798</v>
      </c>
      <c r="K6" s="66">
        <v>0</v>
      </c>
      <c r="L6" s="65">
        <v>85</v>
      </c>
      <c r="M6" s="65"/>
      <c r="N6" s="65">
        <v>111</v>
      </c>
      <c r="O6" s="5">
        <v>11.91</v>
      </c>
      <c r="P6" s="65">
        <f>900+0.04</f>
        <v>900.04</v>
      </c>
    </row>
    <row r="7" spans="4:16" x14ac:dyDescent="0.25">
      <c r="D7" t="s">
        <v>90</v>
      </c>
      <c r="E7" s="5">
        <f t="shared" si="0"/>
        <v>4003.45</v>
      </c>
      <c r="F7" s="65">
        <f t="shared" ref="F7:F15" si="2">H7+J7+P7+L7+N7</f>
        <v>1266.1100000000001</v>
      </c>
      <c r="G7" s="5">
        <v>144.30000000000001</v>
      </c>
      <c r="H7" s="65">
        <v>147.15</v>
      </c>
      <c r="I7" s="5">
        <v>1059.0999999999999</v>
      </c>
      <c r="J7" s="65">
        <v>992</v>
      </c>
      <c r="K7" s="66">
        <v>0</v>
      </c>
      <c r="L7" s="65">
        <v>50</v>
      </c>
      <c r="M7" s="65"/>
      <c r="N7" s="65">
        <v>60</v>
      </c>
      <c r="O7" s="5">
        <v>2800.05</v>
      </c>
      <c r="P7" s="65">
        <f>0.04+16.92</f>
        <v>16.96</v>
      </c>
    </row>
    <row r="8" spans="4:16" x14ac:dyDescent="0.25">
      <c r="D8" t="s">
        <v>91</v>
      </c>
      <c r="E8" s="5">
        <f t="shared" si="0"/>
        <v>3077.93</v>
      </c>
      <c r="F8" s="65">
        <f t="shared" si="2"/>
        <v>4373.4000000000005</v>
      </c>
      <c r="G8" s="5">
        <v>218.35</v>
      </c>
      <c r="H8" s="65">
        <v>244.3</v>
      </c>
      <c r="I8" s="5">
        <v>2372</v>
      </c>
      <c r="J8" s="65">
        <v>867.1</v>
      </c>
      <c r="K8" s="66">
        <v>0</v>
      </c>
      <c r="L8" s="65">
        <v>153</v>
      </c>
      <c r="M8" s="65"/>
      <c r="N8" s="65">
        <v>850.55</v>
      </c>
      <c r="O8" s="5">
        <v>487.58</v>
      </c>
      <c r="P8" s="65">
        <f>0.04+2166.61+77.26+14.54</f>
        <v>2258.4500000000003</v>
      </c>
    </row>
    <row r="9" spans="4:16" x14ac:dyDescent="0.25">
      <c r="D9" t="s">
        <v>92</v>
      </c>
      <c r="E9" s="5">
        <f t="shared" si="0"/>
        <v>1463.07</v>
      </c>
      <c r="F9" s="65">
        <f t="shared" si="2"/>
        <v>1546.8400000000001</v>
      </c>
      <c r="G9" s="5">
        <v>264.55</v>
      </c>
      <c r="H9" s="65">
        <v>268.35000000000002</v>
      </c>
      <c r="I9" s="5">
        <v>1184.2</v>
      </c>
      <c r="J9" s="65">
        <v>1174.2</v>
      </c>
      <c r="K9" s="66">
        <v>0</v>
      </c>
      <c r="L9" s="65">
        <v>45</v>
      </c>
      <c r="M9" s="65"/>
      <c r="N9" s="65">
        <v>46</v>
      </c>
      <c r="O9" s="5">
        <v>14.32</v>
      </c>
      <c r="P9" s="65">
        <f>0.03+13.26</f>
        <v>13.29</v>
      </c>
    </row>
    <row r="10" spans="4:16" x14ac:dyDescent="0.25">
      <c r="D10" t="s">
        <v>93</v>
      </c>
      <c r="E10" s="5">
        <f t="shared" si="0"/>
        <v>1277.49</v>
      </c>
      <c r="F10" s="65">
        <f t="shared" si="2"/>
        <v>997.11</v>
      </c>
      <c r="G10" s="5">
        <v>170.25</v>
      </c>
      <c r="H10" s="65">
        <v>73.099999999999994</v>
      </c>
      <c r="I10" s="5">
        <v>694.9</v>
      </c>
      <c r="J10" s="65">
        <v>617.35</v>
      </c>
      <c r="K10" s="66">
        <v>0</v>
      </c>
      <c r="L10" s="65"/>
      <c r="M10" s="65"/>
      <c r="N10" s="65"/>
      <c r="O10" s="5">
        <v>412.34</v>
      </c>
      <c r="P10" s="65">
        <f>142.5+0.03+164.13</f>
        <v>306.65999999999997</v>
      </c>
    </row>
    <row r="11" spans="4:16" x14ac:dyDescent="0.25">
      <c r="D11" t="s">
        <v>94</v>
      </c>
      <c r="E11" s="5">
        <f t="shared" si="0"/>
        <v>1488.53</v>
      </c>
      <c r="F11" s="65">
        <f t="shared" si="2"/>
        <v>2896.12</v>
      </c>
      <c r="G11" s="5">
        <v>241.25</v>
      </c>
      <c r="H11" s="65">
        <v>293.35000000000002</v>
      </c>
      <c r="I11" s="5">
        <v>1026.99</v>
      </c>
      <c r="J11" s="65">
        <v>874.2</v>
      </c>
      <c r="K11" s="66">
        <v>0</v>
      </c>
      <c r="L11" s="65">
        <v>100</v>
      </c>
      <c r="M11" s="65"/>
      <c r="N11" s="65">
        <v>610</v>
      </c>
      <c r="O11" s="5">
        <v>220.29</v>
      </c>
      <c r="P11" s="65">
        <f>706.01+0.04+8889.07-8797.46+111+100+9.91</f>
        <v>1018.5699999999998</v>
      </c>
    </row>
    <row r="12" spans="4:16" x14ac:dyDescent="0.25">
      <c r="D12" t="s">
        <v>95</v>
      </c>
      <c r="E12" s="5">
        <f t="shared" si="0"/>
        <v>848.41</v>
      </c>
      <c r="F12" s="65">
        <f t="shared" si="2"/>
        <v>0</v>
      </c>
      <c r="G12" s="5">
        <v>24.05</v>
      </c>
      <c r="H12" s="65"/>
      <c r="I12" s="5">
        <v>810</v>
      </c>
      <c r="J12" s="65"/>
      <c r="K12" s="66">
        <v>0</v>
      </c>
      <c r="L12" s="65"/>
      <c r="M12" s="65"/>
      <c r="N12" s="65"/>
      <c r="O12" s="5">
        <v>14.36</v>
      </c>
      <c r="P12" s="65"/>
    </row>
    <row r="13" spans="4:16" x14ac:dyDescent="0.25">
      <c r="D13" t="s">
        <v>96</v>
      </c>
      <c r="E13" s="5">
        <f t="shared" si="0"/>
        <v>1597.37</v>
      </c>
      <c r="F13" s="65">
        <f t="shared" si="2"/>
        <v>0</v>
      </c>
      <c r="G13" s="5">
        <v>193.35</v>
      </c>
      <c r="H13" s="65"/>
      <c r="I13" s="5">
        <v>1124</v>
      </c>
      <c r="J13" s="65"/>
      <c r="K13" s="66">
        <v>0</v>
      </c>
      <c r="L13" s="65"/>
      <c r="M13" s="65"/>
      <c r="N13" s="65"/>
      <c r="O13" s="5">
        <v>280.02</v>
      </c>
      <c r="P13" s="65"/>
    </row>
    <row r="14" spans="4:16" x14ac:dyDescent="0.25">
      <c r="D14" t="s">
        <v>97</v>
      </c>
      <c r="E14" s="5">
        <f t="shared" si="0"/>
        <v>1596.5700000000002</v>
      </c>
      <c r="F14" s="65">
        <f t="shared" si="2"/>
        <v>0</v>
      </c>
      <c r="G14" s="5">
        <v>366.45</v>
      </c>
      <c r="H14" s="65"/>
      <c r="I14" s="5">
        <v>1138.4000000000001</v>
      </c>
      <c r="J14" s="65"/>
      <c r="K14" s="66">
        <v>0</v>
      </c>
      <c r="L14" s="65"/>
      <c r="M14" s="65"/>
      <c r="N14" s="65"/>
      <c r="O14" s="5">
        <v>91.72</v>
      </c>
      <c r="P14" s="65"/>
    </row>
    <row r="15" spans="4:16" x14ac:dyDescent="0.25">
      <c r="D15" t="s">
        <v>98</v>
      </c>
      <c r="E15" s="5">
        <f t="shared" si="0"/>
        <v>4692.59</v>
      </c>
      <c r="F15" s="65">
        <f t="shared" si="2"/>
        <v>0</v>
      </c>
      <c r="G15" s="5">
        <v>3071.7</v>
      </c>
      <c r="H15" s="65"/>
      <c r="I15" s="5">
        <v>1609.8</v>
      </c>
      <c r="J15" s="65"/>
      <c r="K15" s="66">
        <v>0</v>
      </c>
      <c r="L15" s="65"/>
      <c r="M15" s="65"/>
      <c r="N15" s="65"/>
      <c r="O15" s="5">
        <v>11.09</v>
      </c>
      <c r="P15" s="65"/>
    </row>
    <row r="16" spans="4:16" x14ac:dyDescent="0.25">
      <c r="E16" s="5"/>
      <c r="F16" s="65"/>
      <c r="G16" s="5"/>
      <c r="H16" s="65"/>
      <c r="I16" s="5"/>
      <c r="J16" s="65"/>
      <c r="K16" s="66"/>
      <c r="L16" s="65"/>
      <c r="M16" s="65"/>
      <c r="N16" s="65"/>
      <c r="O16" s="5"/>
      <c r="P16" s="65"/>
    </row>
    <row r="17" spans="3:16" x14ac:dyDescent="0.25">
      <c r="C17" t="s">
        <v>3</v>
      </c>
      <c r="E17" s="66">
        <f>SUM(E4:E16)</f>
        <v>32545.019999999997</v>
      </c>
      <c r="F17" s="65">
        <f t="shared" ref="F17:P17" si="3">SUM(F4:F16)</f>
        <v>24917.9</v>
      </c>
      <c r="G17" s="66">
        <f>SUM(G4:G15)</f>
        <v>12116.920000000002</v>
      </c>
      <c r="H17" s="65">
        <f t="shared" si="3"/>
        <v>8988.1</v>
      </c>
      <c r="I17" s="5">
        <f>SUM(I4:I15)</f>
        <v>15075.64</v>
      </c>
      <c r="J17" s="65">
        <f t="shared" si="3"/>
        <v>7144.6500000000005</v>
      </c>
      <c r="K17" s="65">
        <f t="shared" si="3"/>
        <v>0</v>
      </c>
      <c r="L17" s="65">
        <f t="shared" si="3"/>
        <v>669</v>
      </c>
      <c r="M17" s="65"/>
      <c r="N17" s="65"/>
      <c r="O17" s="5">
        <f>SUM(O4:O15)</f>
        <v>5352.46</v>
      </c>
      <c r="P17" s="65">
        <f t="shared" si="3"/>
        <v>6438.5999999999995</v>
      </c>
    </row>
    <row r="18" spans="3:16" x14ac:dyDescent="0.25">
      <c r="C18" t="s">
        <v>0</v>
      </c>
      <c r="E18" s="5">
        <f>SUM(E4:E15)</f>
        <v>32545.019999999997</v>
      </c>
      <c r="F18" s="5"/>
      <c r="G18" s="5">
        <f>SUM(G4:G15)</f>
        <v>12116.920000000002</v>
      </c>
      <c r="H18" s="5"/>
      <c r="I18" s="5">
        <f>SUM(I4:I15)</f>
        <v>15075.64</v>
      </c>
      <c r="J18" s="5"/>
      <c r="K18" s="66"/>
      <c r="L18" s="5"/>
      <c r="M18" s="5"/>
      <c r="N18" s="5"/>
      <c r="O18" s="5">
        <f>SUM(O4:O15)</f>
        <v>5352.46</v>
      </c>
      <c r="P18" s="5"/>
    </row>
  </sheetData>
  <pageMargins left="0.70866141732283472" right="0.70866141732283472" top="0.74803149606299213" bottom="0.74803149606299213" header="0.31496062992125984" footer="0.31496062992125984"/>
  <pageSetup paperSize="9" scale="66" orientation="landscape" cellComments="asDisplayed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529CC-1FC1-4AC8-A65B-1ADBD0D0BD9A}">
  <sheetPr>
    <pageSetUpPr fitToPage="1"/>
  </sheetPr>
  <dimension ref="C3:M64"/>
  <sheetViews>
    <sheetView tabSelected="1" topLeftCell="B13" workbookViewId="0">
      <selection activeCell="D32" sqref="D32"/>
    </sheetView>
  </sheetViews>
  <sheetFormatPr defaultRowHeight="15" x14ac:dyDescent="0.25"/>
  <cols>
    <col min="1" max="2" width="9.140625" style="16"/>
    <col min="3" max="3" width="26.42578125" style="16" customWidth="1"/>
    <col min="4" max="4" width="12.7109375" style="16" customWidth="1"/>
    <col min="5" max="5" width="36.42578125" style="16" customWidth="1"/>
    <col min="6" max="6" width="9" style="16" customWidth="1"/>
    <col min="7" max="7" width="35.7109375" style="16" customWidth="1"/>
    <col min="8" max="8" width="9.140625" style="16"/>
    <col min="9" max="9" width="2.7109375" style="16" customWidth="1"/>
    <col min="10" max="11" width="9.140625" style="16"/>
    <col min="12" max="12" width="9.7109375" style="16" bestFit="1" customWidth="1"/>
    <col min="13" max="16384" width="9.140625" style="16"/>
  </cols>
  <sheetData>
    <row r="3" spans="3:12" x14ac:dyDescent="0.25">
      <c r="E3" s="16" t="s">
        <v>33</v>
      </c>
      <c r="J3" s="17" t="s">
        <v>34</v>
      </c>
      <c r="L3" s="18"/>
    </row>
    <row r="4" spans="3:12" x14ac:dyDescent="0.25">
      <c r="C4" s="19" t="s">
        <v>35</v>
      </c>
    </row>
    <row r="5" spans="3:12" x14ac:dyDescent="0.25">
      <c r="C5" s="14" t="s">
        <v>36</v>
      </c>
      <c r="D5" s="18"/>
      <c r="E5" s="20" t="s">
        <v>37</v>
      </c>
      <c r="H5" s="21">
        <f>'[1]August 2018 detailed'!H6+'[1]August 2018 detailed'!H8+'[1]August 2018 detailed'!H9+'[1]August 2018 detailed'!H19+'[1]August 2018 detailed'!H28+'[1]August 2018 detailed'!H36+'[1]August 2018 detailed'!H43+'[1]August 2018 detailed'!H44</f>
        <v>293.35000000000002</v>
      </c>
    </row>
    <row r="6" spans="3:12" x14ac:dyDescent="0.25">
      <c r="C6" s="22"/>
      <c r="D6" s="22"/>
      <c r="E6" s="23" t="s">
        <v>38</v>
      </c>
      <c r="F6" s="24"/>
      <c r="G6" s="24"/>
      <c r="H6" s="25">
        <f>'[1]August 2018 detailed'!H7+'[1]August 2018 detailed'!H12+'[1]August 2018 detailed'!H13+'[1]August 2018 detailed'!H16+'[1]August 2018 detailed'!H17+'[1]August 2018 detailed'!H18+'[1]August 2018 detailed'!H23+'[1]August 2018 detailed'!H24+'[1]August 2018 detailed'!H25+'[1]August 2018 detailed'!H29+'[1]August 2018 detailed'!H30+'[1]August 2018 detailed'!H32+'[1]August 2018 detailed'!H34+'[1]August 2018 detailed'!H37+'[1]August 2018 detailed'!H38+'[1]August 2018 detailed'!H39+'[1]August 2018 detailed'!H40+'[1]August 2018 detailed'!H41+'[1]August 2018 detailed'!H45+'[1]August 2018 detailed'!H46+'[1]August 2018 detailed'!H48+'[1]August 2018 detailed'!H49+'[1]August 2018 detailed'!H51</f>
        <v>874.2</v>
      </c>
      <c r="I6" s="24"/>
      <c r="J6" s="24"/>
      <c r="K6" s="24"/>
    </row>
    <row r="7" spans="3:12" x14ac:dyDescent="0.25">
      <c r="C7" s="22"/>
      <c r="D7" s="22"/>
      <c r="E7" s="26" t="s">
        <v>39</v>
      </c>
      <c r="F7" s="24"/>
      <c r="G7" s="24"/>
      <c r="H7" s="21">
        <f>'[1]August 2018 detailed'!H10+'[1]August 2018 detailed'!H20</f>
        <v>706.01</v>
      </c>
      <c r="I7" s="24"/>
      <c r="J7" s="24"/>
      <c r="K7" s="24"/>
    </row>
    <row r="8" spans="3:12" x14ac:dyDescent="0.25">
      <c r="C8" s="22"/>
      <c r="D8" s="22"/>
      <c r="E8" s="23" t="s">
        <v>40</v>
      </c>
      <c r="F8" s="24"/>
      <c r="G8" s="24"/>
      <c r="H8" s="21">
        <f>'[1]August 2018 detailed'!H11+'[1]August 2018 detailed'!H14+'[1]August 2018 detailed'!H22+'[1]August 2018 detailed'!H26+'[1]August 2018 detailed'!H31+'[1]August 2018 detailed'!H33+'[1]August 2018 detailed'!H42+'[1]August 2018 detailed'!H47+'[1]August 2018 detailed'!H50+'[1]August 2018 detailed'!H15</f>
        <v>610</v>
      </c>
      <c r="I8" s="24"/>
      <c r="J8" s="24"/>
      <c r="K8" s="24"/>
    </row>
    <row r="9" spans="3:12" x14ac:dyDescent="0.25">
      <c r="C9" s="22"/>
      <c r="D9" s="22"/>
      <c r="E9" s="27" t="s">
        <v>41</v>
      </c>
      <c r="F9" s="24"/>
      <c r="G9" s="24"/>
      <c r="H9" s="28">
        <f>'[1]August 2018 detailed'!H21+'[1]August 2018 detailed'!H27</f>
        <v>100</v>
      </c>
      <c r="I9" s="28"/>
      <c r="J9" s="24"/>
      <c r="K9" s="24"/>
    </row>
    <row r="10" spans="3:12" x14ac:dyDescent="0.25">
      <c r="C10" s="22"/>
      <c r="D10" s="22"/>
      <c r="E10" s="26" t="s">
        <v>42</v>
      </c>
      <c r="F10" s="24"/>
      <c r="G10" s="24"/>
      <c r="H10" s="28">
        <f>'[1]August 2018 detailed'!H35</f>
        <v>111</v>
      </c>
      <c r="I10" s="28"/>
      <c r="J10" s="24"/>
      <c r="K10" s="24"/>
    </row>
    <row r="11" spans="3:12" x14ac:dyDescent="0.25">
      <c r="C11" s="18"/>
      <c r="E11" s="20" t="s">
        <v>43</v>
      </c>
      <c r="G11" s="24"/>
      <c r="H11" s="28">
        <f>'[1]August 2018 detailed'!H52</f>
        <v>0.04</v>
      </c>
      <c r="I11" s="28"/>
      <c r="J11" s="24"/>
      <c r="K11" s="24"/>
    </row>
    <row r="12" spans="3:12" x14ac:dyDescent="0.25">
      <c r="C12" s="18"/>
      <c r="E12" s="26" t="s">
        <v>44</v>
      </c>
      <c r="G12" s="24"/>
      <c r="H12" s="28">
        <v>100</v>
      </c>
      <c r="I12" s="28"/>
      <c r="J12" s="24"/>
      <c r="K12" s="24"/>
    </row>
    <row r="13" spans="3:12" x14ac:dyDescent="0.25">
      <c r="C13" s="18"/>
      <c r="D13" s="18"/>
      <c r="E13" s="29"/>
      <c r="G13" s="24"/>
      <c r="H13" s="28"/>
      <c r="I13" s="28"/>
      <c r="J13" s="24"/>
      <c r="K13" s="24"/>
    </row>
    <row r="14" spans="3:12" x14ac:dyDescent="0.25">
      <c r="E14" s="16" t="s">
        <v>45</v>
      </c>
      <c r="G14" s="24"/>
      <c r="H14" s="28">
        <f>SUM(H4:H13)</f>
        <v>2794.6000000000004</v>
      </c>
      <c r="I14" s="24"/>
      <c r="J14" s="24"/>
      <c r="K14" s="24"/>
    </row>
    <row r="15" spans="3:12" x14ac:dyDescent="0.25">
      <c r="G15" s="24"/>
      <c r="H15" s="24"/>
      <c r="I15" s="24"/>
      <c r="J15" s="24"/>
      <c r="K15" s="24"/>
    </row>
    <row r="16" spans="3:12" x14ac:dyDescent="0.25">
      <c r="G16" s="24"/>
      <c r="H16" s="24"/>
      <c r="I16" s="24"/>
      <c r="J16" s="24"/>
      <c r="K16" s="24"/>
    </row>
    <row r="17" spans="3:13" x14ac:dyDescent="0.25">
      <c r="G17" s="24"/>
      <c r="H17" s="24"/>
      <c r="I17" s="24"/>
      <c r="J17" s="24"/>
      <c r="K17" s="24"/>
      <c r="M17" s="24"/>
    </row>
    <row r="18" spans="3:13" x14ac:dyDescent="0.25">
      <c r="C18" s="14" t="s">
        <v>46</v>
      </c>
      <c r="H18" s="24"/>
      <c r="I18" s="24"/>
      <c r="J18" s="24"/>
      <c r="K18" s="24"/>
      <c r="M18" s="24"/>
    </row>
    <row r="19" spans="3:13" x14ac:dyDescent="0.25">
      <c r="C19" s="30" t="s">
        <v>35</v>
      </c>
      <c r="D19" s="30"/>
      <c r="E19" s="30" t="s">
        <v>47</v>
      </c>
      <c r="F19" s="30"/>
      <c r="G19" s="30" t="s">
        <v>48</v>
      </c>
      <c r="H19" s="31"/>
      <c r="I19" s="31"/>
      <c r="J19" s="31" t="s">
        <v>49</v>
      </c>
      <c r="K19" s="31" t="s">
        <v>50</v>
      </c>
      <c r="M19" s="24"/>
    </row>
    <row r="20" spans="3:13" x14ac:dyDescent="0.25">
      <c r="C20" s="32">
        <v>43313</v>
      </c>
      <c r="D20" s="7"/>
      <c r="E20" s="7" t="s">
        <v>51</v>
      </c>
      <c r="F20" s="7"/>
      <c r="G20" s="7" t="s">
        <v>39</v>
      </c>
      <c r="H20" s="7"/>
      <c r="I20" s="7"/>
      <c r="J20" s="33"/>
      <c r="K20" s="13">
        <v>370</v>
      </c>
      <c r="M20" s="21"/>
    </row>
    <row r="21" spans="3:13" x14ac:dyDescent="0.25">
      <c r="C21" s="34">
        <v>43318</v>
      </c>
      <c r="D21" s="7"/>
      <c r="E21" s="7" t="s">
        <v>52</v>
      </c>
      <c r="F21" s="35"/>
      <c r="G21" s="7" t="s">
        <v>53</v>
      </c>
      <c r="H21" s="36"/>
      <c r="I21" s="36"/>
      <c r="J21" s="33"/>
      <c r="K21" s="37">
        <v>16.5</v>
      </c>
    </row>
    <row r="22" spans="3:13" x14ac:dyDescent="0.25">
      <c r="C22" s="38"/>
      <c r="D22" s="7"/>
      <c r="E22" s="7" t="s">
        <v>54</v>
      </c>
      <c r="F22" s="7"/>
      <c r="G22" s="7" t="s">
        <v>26</v>
      </c>
      <c r="H22" s="26"/>
      <c r="I22" s="26"/>
      <c r="J22" s="33"/>
      <c r="K22" s="39">
        <v>1000</v>
      </c>
    </row>
    <row r="23" spans="3:13" x14ac:dyDescent="0.25">
      <c r="C23" s="38"/>
      <c r="D23" s="26"/>
      <c r="E23" s="7" t="s">
        <v>25</v>
      </c>
      <c r="F23" s="7"/>
      <c r="G23" s="7" t="s">
        <v>55</v>
      </c>
      <c r="H23" s="26"/>
      <c r="I23" s="26"/>
      <c r="J23" s="33"/>
      <c r="K23" s="39">
        <v>57.9</v>
      </c>
    </row>
    <row r="24" spans="3:13" x14ac:dyDescent="0.25">
      <c r="C24" s="38"/>
      <c r="D24" s="26"/>
      <c r="E24" s="7" t="s">
        <v>56</v>
      </c>
      <c r="F24" s="7"/>
      <c r="G24" s="7" t="s">
        <v>28</v>
      </c>
      <c r="H24" s="26"/>
      <c r="I24" s="26"/>
      <c r="J24" s="33"/>
      <c r="K24" s="39">
        <v>37.5</v>
      </c>
    </row>
    <row r="25" spans="3:13" x14ac:dyDescent="0.25">
      <c r="C25" s="38">
        <v>43325</v>
      </c>
      <c r="D25" s="26"/>
      <c r="E25" s="7" t="s">
        <v>57</v>
      </c>
      <c r="F25" s="7"/>
      <c r="G25" s="7" t="s">
        <v>58</v>
      </c>
      <c r="H25" s="26"/>
      <c r="I25" s="26"/>
      <c r="J25" s="33"/>
      <c r="K25" s="25">
        <v>67.349999999999994</v>
      </c>
    </row>
    <row r="26" spans="3:13" x14ac:dyDescent="0.25">
      <c r="C26" s="38">
        <v>43328</v>
      </c>
      <c r="D26" s="26"/>
      <c r="E26" s="7" t="s">
        <v>59</v>
      </c>
      <c r="F26" s="7"/>
      <c r="G26" s="7" t="s">
        <v>60</v>
      </c>
      <c r="H26" s="26"/>
      <c r="I26" s="26"/>
      <c r="J26" s="33"/>
      <c r="K26" s="25">
        <v>81.95</v>
      </c>
    </row>
    <row r="27" spans="3:13" x14ac:dyDescent="0.25">
      <c r="C27" s="38"/>
      <c r="D27" s="26"/>
      <c r="E27" s="7" t="s">
        <v>61</v>
      </c>
      <c r="F27"/>
      <c r="G27" s="7" t="s">
        <v>62</v>
      </c>
      <c r="H27" s="26"/>
      <c r="I27" s="26"/>
      <c r="J27" s="33"/>
      <c r="K27" s="25">
        <v>474.17</v>
      </c>
    </row>
    <row r="28" spans="3:13" x14ac:dyDescent="0.25">
      <c r="C28" s="38">
        <v>43334</v>
      </c>
      <c r="D28" s="26"/>
      <c r="E28" s="7" t="s">
        <v>56</v>
      </c>
      <c r="F28" s="7"/>
      <c r="G28" s="7" t="s">
        <v>28</v>
      </c>
      <c r="H28" s="26"/>
      <c r="I28" s="26"/>
      <c r="J28" s="33"/>
      <c r="K28" s="25">
        <v>49.5</v>
      </c>
    </row>
    <row r="29" spans="3:13" x14ac:dyDescent="0.25">
      <c r="C29" s="32"/>
      <c r="D29" s="7"/>
      <c r="E29" s="7" t="s">
        <v>63</v>
      </c>
      <c r="F29" s="7"/>
      <c r="G29" s="7" t="s">
        <v>64</v>
      </c>
      <c r="H29" s="26"/>
      <c r="I29" s="26"/>
      <c r="J29" s="33"/>
      <c r="K29" s="25">
        <v>23.99</v>
      </c>
    </row>
    <row r="30" spans="3:13" x14ac:dyDescent="0.25">
      <c r="C30" s="38"/>
      <c r="D30" s="26"/>
      <c r="E30" s="7"/>
      <c r="F30"/>
      <c r="G30" s="26"/>
      <c r="H30" s="26"/>
      <c r="I30" s="26"/>
      <c r="J30" s="40"/>
      <c r="K30" s="25"/>
    </row>
    <row r="31" spans="3:13" x14ac:dyDescent="0.25">
      <c r="C31" s="38"/>
      <c r="D31" s="26"/>
      <c r="E31" s="7"/>
      <c r="F31" s="7"/>
      <c r="G31" s="26"/>
      <c r="H31" s="26"/>
      <c r="I31" s="26"/>
      <c r="J31" s="33"/>
      <c r="K31" s="25"/>
    </row>
    <row r="32" spans="3:13" x14ac:dyDescent="0.25">
      <c r="C32" s="32"/>
      <c r="D32" s="26"/>
      <c r="E32" s="7"/>
      <c r="F32" s="26"/>
      <c r="G32" s="26"/>
      <c r="H32" s="26"/>
      <c r="I32" s="26"/>
      <c r="J32" s="33"/>
      <c r="K32" s="25"/>
    </row>
    <row r="33" spans="3:13" x14ac:dyDescent="0.25">
      <c r="C33" s="38"/>
      <c r="D33" s="26"/>
      <c r="E33" s="7"/>
      <c r="F33" s="7"/>
      <c r="G33" s="7"/>
      <c r="H33" s="26"/>
      <c r="I33" s="26"/>
      <c r="J33" s="33"/>
      <c r="K33" s="25"/>
    </row>
    <row r="34" spans="3:13" x14ac:dyDescent="0.25">
      <c r="C34" s="20"/>
      <c r="D34" s="20"/>
      <c r="E34" s="26"/>
      <c r="F34" s="20"/>
      <c r="G34" s="26"/>
      <c r="H34" s="20"/>
      <c r="I34" s="20"/>
      <c r="J34" s="40"/>
      <c r="K34" s="41"/>
    </row>
    <row r="35" spans="3:13" x14ac:dyDescent="0.25">
      <c r="E35" s="16" t="s">
        <v>65</v>
      </c>
      <c r="K35" s="42">
        <f>SUM(K20:K34)</f>
        <v>2178.8599999999997</v>
      </c>
    </row>
    <row r="36" spans="3:13" x14ac:dyDescent="0.25">
      <c r="K36" s="43"/>
    </row>
    <row r="37" spans="3:13" x14ac:dyDescent="0.25">
      <c r="K37" s="43"/>
      <c r="M37" s="42"/>
    </row>
    <row r="38" spans="3:13" x14ac:dyDescent="0.25">
      <c r="J38" s="16" t="s">
        <v>66</v>
      </c>
      <c r="K38" s="43"/>
      <c r="M38" s="42"/>
    </row>
    <row r="39" spans="3:13" x14ac:dyDescent="0.25">
      <c r="C39" s="16" t="s">
        <v>67</v>
      </c>
      <c r="D39" s="43">
        <v>4610.18</v>
      </c>
      <c r="M39" s="42"/>
    </row>
    <row r="40" spans="3:13" x14ac:dyDescent="0.25">
      <c r="C40" s="20" t="s">
        <v>63</v>
      </c>
      <c r="D40" s="28">
        <v>400</v>
      </c>
      <c r="G40" s="43"/>
      <c r="J40" s="16" t="s">
        <v>68</v>
      </c>
      <c r="M40" s="42">
        <v>5249.91</v>
      </c>
    </row>
    <row r="41" spans="3:13" x14ac:dyDescent="0.25">
      <c r="C41" s="16" t="s">
        <v>69</v>
      </c>
      <c r="D41" s="43">
        <f>H14</f>
        <v>2794.6000000000004</v>
      </c>
      <c r="F41" s="43"/>
      <c r="G41" s="42"/>
      <c r="J41" s="20" t="s">
        <v>70</v>
      </c>
      <c r="L41" s="42"/>
      <c r="M41" s="42">
        <v>376.01</v>
      </c>
    </row>
    <row r="42" spans="3:13" x14ac:dyDescent="0.25">
      <c r="D42" s="43"/>
      <c r="J42" s="16" t="s">
        <v>71</v>
      </c>
      <c r="L42" s="42"/>
      <c r="M42" s="42"/>
    </row>
    <row r="43" spans="3:13" x14ac:dyDescent="0.25">
      <c r="D43" s="43"/>
      <c r="G43" s="43"/>
      <c r="L43" s="44"/>
      <c r="M43" s="42"/>
    </row>
    <row r="44" spans="3:13" x14ac:dyDescent="0.25">
      <c r="C44" s="16" t="s">
        <v>72</v>
      </c>
      <c r="D44" s="43">
        <f>K35</f>
        <v>2178.8599999999997</v>
      </c>
      <c r="F44" s="42"/>
      <c r="G44" s="42"/>
      <c r="L44" s="21"/>
      <c r="M44" s="42"/>
    </row>
    <row r="45" spans="3:13" x14ac:dyDescent="0.25">
      <c r="D45" s="43">
        <f>D39+D40+D41-D44</f>
        <v>5625.920000000001</v>
      </c>
      <c r="F45" s="43"/>
      <c r="L45" s="21"/>
      <c r="M45" s="42"/>
    </row>
    <row r="46" spans="3:13" x14ac:dyDescent="0.25">
      <c r="D46" s="43"/>
      <c r="G46" s="12"/>
      <c r="L46" s="21"/>
      <c r="M46" s="42"/>
    </row>
    <row r="47" spans="3:13" x14ac:dyDescent="0.25">
      <c r="D47" s="43"/>
      <c r="F47" s="43"/>
      <c r="G47" s="43"/>
      <c r="L47" s="42"/>
      <c r="M47" s="42"/>
    </row>
    <row r="48" spans="3:13" x14ac:dyDescent="0.25">
      <c r="D48" s="43"/>
      <c r="L48" s="42"/>
      <c r="M48" s="42"/>
    </row>
    <row r="49" spans="3:13" x14ac:dyDescent="0.25">
      <c r="D49" s="45"/>
      <c r="E49" s="4"/>
      <c r="F49" s="4"/>
      <c r="L49" s="46"/>
      <c r="M49" s="42"/>
    </row>
    <row r="50" spans="3:13" x14ac:dyDescent="0.25">
      <c r="C50" s="4" t="s">
        <v>73</v>
      </c>
      <c r="D50" s="43"/>
      <c r="L50" s="47">
        <f>SUM(L43:L49)</f>
        <v>0</v>
      </c>
      <c r="M50" s="46">
        <f>SUM(L43:L49)</f>
        <v>0</v>
      </c>
    </row>
    <row r="51" spans="3:13" x14ac:dyDescent="0.25">
      <c r="C51" s="20" t="s">
        <v>63</v>
      </c>
      <c r="D51" s="48">
        <f>400-23.99</f>
        <v>376.01</v>
      </c>
      <c r="G51" s="43"/>
      <c r="L51" s="42"/>
      <c r="M51" s="42">
        <f>M40-M50+M41</f>
        <v>5625.92</v>
      </c>
    </row>
    <row r="52" spans="3:13" x14ac:dyDescent="0.25">
      <c r="C52" s="16" t="s">
        <v>74</v>
      </c>
      <c r="D52" s="43">
        <f>M54</f>
        <v>5625.92</v>
      </c>
      <c r="L52" s="42"/>
      <c r="M52" s="47"/>
    </row>
    <row r="53" spans="3:13" x14ac:dyDescent="0.25">
      <c r="C53" s="16" t="s">
        <v>75</v>
      </c>
      <c r="D53" s="43">
        <v>7788.77</v>
      </c>
      <c r="E53" s="49"/>
      <c r="L53" s="42"/>
      <c r="M53" s="47"/>
    </row>
    <row r="54" spans="3:13" x14ac:dyDescent="0.25">
      <c r="C54" s="16" t="s">
        <v>76</v>
      </c>
      <c r="D54" s="43">
        <f>7495.95+10464.1</f>
        <v>17960.05</v>
      </c>
      <c r="L54" s="42"/>
      <c r="M54" s="50">
        <f>SUM(M51:M53)</f>
        <v>5625.92</v>
      </c>
    </row>
    <row r="55" spans="3:13" x14ac:dyDescent="0.25">
      <c r="C55" s="16" t="s">
        <v>77</v>
      </c>
      <c r="D55" s="43">
        <f>8889.07+15925.47</f>
        <v>24814.54</v>
      </c>
      <c r="F55" s="51"/>
      <c r="L55" s="42"/>
      <c r="M55" s="42"/>
    </row>
    <row r="56" spans="3:13" x14ac:dyDescent="0.25">
      <c r="C56" s="16" t="s">
        <v>78</v>
      </c>
      <c r="D56" s="28">
        <v>0</v>
      </c>
      <c r="F56" s="52"/>
      <c r="L56" s="42"/>
      <c r="M56" s="42"/>
    </row>
    <row r="57" spans="3:13" x14ac:dyDescent="0.25">
      <c r="D57" s="53">
        <f>SUM(D51:D56)</f>
        <v>56565.29</v>
      </c>
      <c r="F57" s="54">
        <f>D57</f>
        <v>56565.29</v>
      </c>
      <c r="G57" s="55"/>
      <c r="H57" s="55" t="s">
        <v>79</v>
      </c>
      <c r="I57" s="55"/>
      <c r="J57" s="55"/>
      <c r="K57" s="54">
        <f>'[1]July 2018 Summary'!F64</f>
        <v>55472.020000000004</v>
      </c>
      <c r="L57" s="42"/>
      <c r="M57" s="42"/>
    </row>
    <row r="58" spans="3:13" x14ac:dyDescent="0.25">
      <c r="F58" s="55"/>
      <c r="G58" s="55"/>
      <c r="H58" s="55" t="s">
        <v>80</v>
      </c>
      <c r="I58" s="55"/>
      <c r="J58" s="55"/>
      <c r="K58" s="55">
        <f>F57-K57</f>
        <v>1093.2699999999968</v>
      </c>
    </row>
    <row r="59" spans="3:13" x14ac:dyDescent="0.25">
      <c r="F59" s="55"/>
      <c r="G59" s="55"/>
      <c r="H59" s="55"/>
      <c r="I59" s="55"/>
      <c r="J59" s="55"/>
      <c r="K59" s="55"/>
    </row>
    <row r="60" spans="3:13" x14ac:dyDescent="0.25">
      <c r="F60" s="56">
        <f>D57</f>
        <v>56565.29</v>
      </c>
      <c r="G60" s="57"/>
      <c r="H60" s="57" t="s">
        <v>81</v>
      </c>
      <c r="I60" s="57"/>
      <c r="J60" s="57"/>
      <c r="K60" s="58">
        <f>'[1]August Summary'!F69</f>
        <v>57096.35</v>
      </c>
    </row>
    <row r="61" spans="3:13" x14ac:dyDescent="0.25">
      <c r="F61" s="57"/>
      <c r="G61" s="57"/>
      <c r="H61" s="55" t="s">
        <v>80</v>
      </c>
      <c r="I61" s="57"/>
      <c r="J61" s="57"/>
      <c r="K61" s="57">
        <f>F60-K60</f>
        <v>-531.05999999999767</v>
      </c>
    </row>
    <row r="63" spans="3:13" x14ac:dyDescent="0.25">
      <c r="E63" s="59"/>
      <c r="G63" s="20"/>
    </row>
    <row r="64" spans="3:13" x14ac:dyDescent="0.25">
      <c r="E64" s="59"/>
      <c r="G64" s="20"/>
    </row>
  </sheetData>
  <pageMargins left="0.7" right="0.7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BB35-D2DF-45F9-AF87-51094AE33700}">
  <sheetPr>
    <pageSetUpPr fitToPage="1"/>
  </sheetPr>
  <dimension ref="C1:O42"/>
  <sheetViews>
    <sheetView topLeftCell="B19" workbookViewId="0">
      <selection activeCell="K7" sqref="K7"/>
    </sheetView>
  </sheetViews>
  <sheetFormatPr defaultRowHeight="15" x14ac:dyDescent="0.25"/>
  <cols>
    <col min="3" max="3" width="30" bestFit="1" customWidth="1"/>
    <col min="10" max="10" width="12" bestFit="1" customWidth="1"/>
    <col min="11" max="11" width="11.5703125" bestFit="1" customWidth="1"/>
  </cols>
  <sheetData>
    <row r="1" spans="3:15" x14ac:dyDescent="0.25">
      <c r="K1" s="1">
        <v>43343</v>
      </c>
    </row>
    <row r="2" spans="3:15" x14ac:dyDescent="0.25">
      <c r="F2" s="2" t="s">
        <v>0</v>
      </c>
      <c r="J2" s="2" t="s">
        <v>1</v>
      </c>
      <c r="K2" s="3"/>
    </row>
    <row r="3" spans="3:15" x14ac:dyDescent="0.25">
      <c r="E3">
        <v>2017</v>
      </c>
      <c r="F3">
        <v>2018</v>
      </c>
      <c r="J3" s="2" t="s">
        <v>2</v>
      </c>
      <c r="K3" s="2" t="s">
        <v>3</v>
      </c>
    </row>
    <row r="4" spans="3:15" x14ac:dyDescent="0.25">
      <c r="C4" s="4" t="s">
        <v>4</v>
      </c>
      <c r="D4" s="4"/>
      <c r="E4" s="5"/>
      <c r="F4" s="6" t="s">
        <v>5</v>
      </c>
      <c r="G4" s="5"/>
      <c r="H4" s="5"/>
      <c r="I4" s="5"/>
      <c r="J4" s="5"/>
      <c r="K4" s="5"/>
    </row>
    <row r="5" spans="3:15" x14ac:dyDescent="0.25">
      <c r="C5" t="s">
        <v>6</v>
      </c>
      <c r="E5" s="5">
        <v>542.05999999999995</v>
      </c>
      <c r="F5" s="5">
        <f>E5*1.019</f>
        <v>552.35913999999991</v>
      </c>
      <c r="G5" s="5"/>
      <c r="H5" s="5"/>
      <c r="I5" s="5"/>
      <c r="J5" s="5">
        <f>F5/12*7</f>
        <v>322.20949833333327</v>
      </c>
      <c r="K5" s="5">
        <f>57+127+50+50+44.79+50+55</f>
        <v>433.79</v>
      </c>
      <c r="O5" s="5"/>
    </row>
    <row r="6" spans="3:15" x14ac:dyDescent="0.25">
      <c r="C6" t="s">
        <v>7</v>
      </c>
      <c r="E6" s="5">
        <v>787.93</v>
      </c>
      <c r="F6" s="5">
        <f t="shared" ref="F6:F8" si="0">E6*1.019</f>
        <v>802.90066999999988</v>
      </c>
      <c r="G6" s="5"/>
      <c r="H6" s="5"/>
      <c r="I6" s="5"/>
      <c r="J6" s="5">
        <f t="shared" ref="J6:J17" si="1">F6/12*7</f>
        <v>468.35872416666655</v>
      </c>
      <c r="K6" s="5">
        <f>15+181.4+9+107.5+41.8+8.9+22+56.25+11+11+15+99.1+880+22.44+33+30+6+34.38+23.99</f>
        <v>1607.76</v>
      </c>
      <c r="O6" s="5"/>
    </row>
    <row r="7" spans="3:15" x14ac:dyDescent="0.25">
      <c r="C7" t="s">
        <v>8</v>
      </c>
      <c r="E7" s="5">
        <f>894.9-249.5</f>
        <v>645.4</v>
      </c>
      <c r="F7" s="5">
        <f t="shared" si="0"/>
        <v>657.66259999999988</v>
      </c>
      <c r="G7" s="5"/>
      <c r="H7" s="5"/>
      <c r="I7" s="5"/>
      <c r="J7" s="5">
        <f t="shared" si="1"/>
        <v>383.63651666666664</v>
      </c>
      <c r="K7" s="5">
        <f>563.5+99.8</f>
        <v>663.3</v>
      </c>
      <c r="O7" s="5"/>
    </row>
    <row r="8" spans="3:15" x14ac:dyDescent="0.25">
      <c r="C8" t="s">
        <v>9</v>
      </c>
      <c r="E8" s="5">
        <v>249.5</v>
      </c>
      <c r="F8" s="5">
        <f t="shared" si="0"/>
        <v>254.24049999999997</v>
      </c>
      <c r="G8" s="5"/>
      <c r="H8" s="5"/>
      <c r="I8" s="5"/>
      <c r="J8" s="5">
        <f t="shared" si="1"/>
        <v>148.30695833333331</v>
      </c>
      <c r="K8" s="5">
        <f>179</f>
        <v>179</v>
      </c>
      <c r="O8" s="5"/>
    </row>
    <row r="9" spans="3:15" x14ac:dyDescent="0.25">
      <c r="C9" t="s">
        <v>10</v>
      </c>
      <c r="E9" s="5"/>
      <c r="F9" s="5"/>
      <c r="G9" s="5"/>
      <c r="H9" s="5"/>
      <c r="I9" s="5"/>
      <c r="J9" s="5">
        <f t="shared" si="1"/>
        <v>0</v>
      </c>
      <c r="K9" s="5"/>
      <c r="O9" s="5"/>
    </row>
    <row r="10" spans="3:15" x14ac:dyDescent="0.25">
      <c r="C10" t="s">
        <v>11</v>
      </c>
      <c r="E10" s="5"/>
      <c r="F10" s="5"/>
      <c r="G10" s="5"/>
      <c r="H10" s="5"/>
      <c r="I10" s="5"/>
      <c r="J10" s="5">
        <f t="shared" si="1"/>
        <v>0</v>
      </c>
      <c r="K10" s="5"/>
      <c r="O10" s="5"/>
    </row>
    <row r="11" spans="3:15" x14ac:dyDescent="0.25">
      <c r="C11" t="s">
        <v>12</v>
      </c>
      <c r="E11" s="5"/>
      <c r="F11" s="5"/>
      <c r="G11" s="5"/>
      <c r="H11" s="5"/>
      <c r="I11" s="5"/>
      <c r="J11" s="5">
        <f t="shared" si="1"/>
        <v>0</v>
      </c>
      <c r="K11" s="5">
        <v>880</v>
      </c>
      <c r="O11" s="5"/>
    </row>
    <row r="12" spans="3:15" x14ac:dyDescent="0.25">
      <c r="C12" t="s">
        <v>13</v>
      </c>
      <c r="E12" s="5">
        <v>779.26</v>
      </c>
      <c r="F12" s="5">
        <f t="shared" ref="F12:F15" si="2">E12*1.019</f>
        <v>794.06593999999996</v>
      </c>
      <c r="G12" s="5"/>
      <c r="H12" s="5"/>
      <c r="I12" s="5"/>
      <c r="J12" s="5">
        <f t="shared" si="1"/>
        <v>463.20513166666666</v>
      </c>
      <c r="K12" s="5">
        <f>10.9+248.83+19.03+416.4+485+30</f>
        <v>1210.1599999999999</v>
      </c>
      <c r="O12" s="5"/>
    </row>
    <row r="13" spans="3:15" x14ac:dyDescent="0.25">
      <c r="C13" t="s">
        <v>14</v>
      </c>
      <c r="E13" s="5">
        <v>6709.95</v>
      </c>
      <c r="F13" s="5">
        <f t="shared" si="2"/>
        <v>6837.439049999999</v>
      </c>
      <c r="G13" s="5"/>
      <c r="H13" s="5"/>
      <c r="I13" s="5"/>
      <c r="J13" s="5">
        <f t="shared" si="1"/>
        <v>3988.5061124999993</v>
      </c>
      <c r="K13" s="5">
        <f>990+1200+820+57+290+1160+370+81.95</f>
        <v>4968.95</v>
      </c>
      <c r="O13" s="5"/>
    </row>
    <row r="14" spans="3:15" x14ac:dyDescent="0.25">
      <c r="C14" t="s">
        <v>15</v>
      </c>
      <c r="E14" s="5">
        <v>1000</v>
      </c>
      <c r="F14" s="5">
        <f t="shared" si="2"/>
        <v>1018.9999999999999</v>
      </c>
      <c r="G14" s="5"/>
      <c r="H14" s="5"/>
      <c r="I14" s="5"/>
      <c r="J14" s="5">
        <f t="shared" si="1"/>
        <v>594.41666666666663</v>
      </c>
      <c r="K14" s="5"/>
      <c r="O14" s="5"/>
    </row>
    <row r="15" spans="3:15" x14ac:dyDescent="0.25">
      <c r="C15" t="s">
        <v>16</v>
      </c>
      <c r="E15" s="5">
        <v>170</v>
      </c>
      <c r="F15" s="5">
        <f t="shared" si="2"/>
        <v>173.23</v>
      </c>
      <c r="G15" s="5"/>
      <c r="H15" s="5"/>
      <c r="I15" s="5"/>
      <c r="J15" s="5">
        <f t="shared" si="1"/>
        <v>101.05083333333333</v>
      </c>
      <c r="K15" s="5">
        <f>5+5+25+25</f>
        <v>60</v>
      </c>
      <c r="O15" s="5"/>
    </row>
    <row r="16" spans="3:15" x14ac:dyDescent="0.25">
      <c r="C16" t="s">
        <v>17</v>
      </c>
      <c r="E16" s="5"/>
      <c r="F16" s="5"/>
      <c r="G16" s="5"/>
      <c r="H16" s="5"/>
      <c r="I16" s="5"/>
      <c r="J16" s="5">
        <f t="shared" si="1"/>
        <v>0</v>
      </c>
      <c r="K16" s="5">
        <f>253+680</f>
        <v>933</v>
      </c>
      <c r="O16" s="5"/>
    </row>
    <row r="17" spans="3:15" x14ac:dyDescent="0.25">
      <c r="C17" t="s">
        <v>18</v>
      </c>
      <c r="E17" s="5">
        <v>127.56</v>
      </c>
      <c r="F17" s="5">
        <f>E17*1.019</f>
        <v>129.98363999999998</v>
      </c>
      <c r="G17" s="5"/>
      <c r="H17" s="5"/>
      <c r="I17" s="5"/>
      <c r="J17" s="5">
        <f t="shared" si="1"/>
        <v>75.823789999999988</v>
      </c>
      <c r="K17" s="5">
        <f>21.7+20+84+72+154+19.9+50</f>
        <v>421.59999999999997</v>
      </c>
      <c r="O17" s="5"/>
    </row>
    <row r="18" spans="3:15" x14ac:dyDescent="0.25">
      <c r="C18" t="s">
        <v>19</v>
      </c>
      <c r="E18" s="5"/>
      <c r="F18" s="5"/>
      <c r="G18" s="5"/>
      <c r="H18" s="5"/>
      <c r="I18" s="5"/>
      <c r="J18" s="5"/>
      <c r="K18" s="5">
        <f>52.5+22.5+25+215+190+190+100+250+30+30+40+255+16.5</f>
        <v>1416.5</v>
      </c>
    </row>
    <row r="19" spans="3:15" x14ac:dyDescent="0.25">
      <c r="C19" t="s">
        <v>20</v>
      </c>
      <c r="E19" s="5"/>
      <c r="F19" s="5"/>
      <c r="G19" s="5"/>
      <c r="H19" s="5"/>
      <c r="I19" s="5"/>
      <c r="J19" s="5"/>
      <c r="K19" s="5">
        <f>234+208+150+280+202</f>
        <v>1074</v>
      </c>
    </row>
    <row r="20" spans="3:15" x14ac:dyDescent="0.25">
      <c r="C20" t="s">
        <v>21</v>
      </c>
      <c r="E20" s="5"/>
      <c r="F20" s="5"/>
      <c r="G20" s="5"/>
      <c r="H20" s="5"/>
      <c r="I20" s="5"/>
      <c r="J20" s="5"/>
      <c r="K20" s="5">
        <f>129+15+15</f>
        <v>159</v>
      </c>
    </row>
    <row r="21" spans="3:15" x14ac:dyDescent="0.25">
      <c r="C21" t="s">
        <v>22</v>
      </c>
      <c r="E21" s="5">
        <f>SUM(E4:E18)</f>
        <v>11011.659999999998</v>
      </c>
      <c r="F21" s="5">
        <f>SUM(F4:F18)</f>
        <v>11220.881539999998</v>
      </c>
      <c r="G21" s="5"/>
      <c r="H21" s="5"/>
      <c r="I21" s="5"/>
      <c r="J21" s="5">
        <f>SUM(J4:J18)</f>
        <v>6545.514231666667</v>
      </c>
      <c r="K21" s="5">
        <f>SUM(K4:K20)</f>
        <v>14007.06</v>
      </c>
    </row>
    <row r="22" spans="3:15" x14ac:dyDescent="0.25">
      <c r="E22" s="5"/>
      <c r="F22" s="5"/>
      <c r="G22" s="5"/>
      <c r="H22" s="5"/>
      <c r="I22" s="5"/>
      <c r="J22" s="5"/>
      <c r="K22" s="5"/>
    </row>
    <row r="23" spans="3:15" x14ac:dyDescent="0.25">
      <c r="C23" s="4" t="s">
        <v>23</v>
      </c>
      <c r="E23" s="5"/>
      <c r="F23" s="5"/>
      <c r="G23" s="5"/>
      <c r="H23" s="5"/>
      <c r="I23" s="5"/>
      <c r="J23" s="5"/>
      <c r="K23" s="5"/>
    </row>
    <row r="24" spans="3:15" x14ac:dyDescent="0.25">
      <c r="C24" t="s">
        <v>24</v>
      </c>
      <c r="E24" s="5">
        <v>4642.1099999999997</v>
      </c>
      <c r="F24" s="5">
        <f t="shared" ref="F24:F31" si="3">E24*1.019</f>
        <v>4730.310089999999</v>
      </c>
      <c r="G24" s="5"/>
      <c r="H24" s="5"/>
      <c r="I24" s="5"/>
      <c r="J24" s="5">
        <f t="shared" ref="J24:J31" si="4">F24/12*7</f>
        <v>2759.3475524999994</v>
      </c>
      <c r="K24" s="5">
        <f>673.21+369.83+76.96+46.11+423.05+669+67.35+474.17</f>
        <v>2799.68</v>
      </c>
      <c r="O24" s="5"/>
    </row>
    <row r="25" spans="3:15" x14ac:dyDescent="0.25">
      <c r="C25" t="s">
        <v>25</v>
      </c>
      <c r="E25" s="5">
        <v>675.8</v>
      </c>
      <c r="F25" s="5">
        <f t="shared" si="3"/>
        <v>688.64019999999994</v>
      </c>
      <c r="G25" s="5"/>
      <c r="H25" s="5"/>
      <c r="I25" s="5"/>
      <c r="J25" s="5">
        <f t="shared" si="4"/>
        <v>401.70678333333331</v>
      </c>
      <c r="K25" s="5">
        <f>57.9+57.9+57.9+57.9+57.9+57.9+57.9+57.9</f>
        <v>463.19999999999993</v>
      </c>
      <c r="O25" s="5"/>
    </row>
    <row r="26" spans="3:15" x14ac:dyDescent="0.25">
      <c r="C26" t="s">
        <v>26</v>
      </c>
      <c r="E26" s="5">
        <v>9800</v>
      </c>
      <c r="F26" s="5">
        <f t="shared" si="3"/>
        <v>9986.1999999999989</v>
      </c>
      <c r="G26" s="5"/>
      <c r="H26" s="5"/>
      <c r="I26" s="5"/>
      <c r="J26" s="5">
        <f t="shared" si="4"/>
        <v>5825.2833333333328</v>
      </c>
      <c r="K26" s="5">
        <f>800+1000+800+800+800+1000+800+1000</f>
        <v>7000</v>
      </c>
      <c r="M26" s="7"/>
      <c r="N26" s="7"/>
      <c r="O26" s="5"/>
    </row>
    <row r="27" spans="3:15" x14ac:dyDescent="0.25">
      <c r="C27" t="s">
        <v>27</v>
      </c>
      <c r="E27" s="5">
        <v>325.58999999999997</v>
      </c>
      <c r="F27" s="5">
        <f t="shared" si="3"/>
        <v>331.77620999999994</v>
      </c>
      <c r="G27" s="5"/>
      <c r="H27" s="5"/>
      <c r="I27" s="5"/>
      <c r="J27" s="5">
        <f t="shared" si="4"/>
        <v>193.53612249999998</v>
      </c>
      <c r="K27" s="5">
        <f>444.75</f>
        <v>444.75</v>
      </c>
      <c r="M27" s="7"/>
      <c r="N27" s="7"/>
      <c r="O27" s="5"/>
    </row>
    <row r="28" spans="3:15" x14ac:dyDescent="0.25">
      <c r="C28" t="s">
        <v>28</v>
      </c>
      <c r="E28" s="5">
        <v>1073.95</v>
      </c>
      <c r="F28" s="5">
        <f t="shared" si="3"/>
        <v>1094.3550499999999</v>
      </c>
      <c r="G28" s="5"/>
      <c r="H28" s="5"/>
      <c r="I28" s="5"/>
      <c r="J28" s="5">
        <f t="shared" si="4"/>
        <v>638.37377916666662</v>
      </c>
      <c r="K28" s="5">
        <f>114+91.17+40+80+37.5+37.5+47+52.75+153+50.5+37.5+49.5</f>
        <v>790.42000000000007</v>
      </c>
      <c r="M28" s="7"/>
      <c r="N28" s="7"/>
      <c r="O28" s="5"/>
    </row>
    <row r="29" spans="3:15" x14ac:dyDescent="0.25">
      <c r="C29" t="s">
        <v>29</v>
      </c>
      <c r="E29" s="8"/>
      <c r="F29" s="5"/>
      <c r="G29" s="5"/>
      <c r="H29" s="5"/>
      <c r="I29" s="5"/>
      <c r="J29" s="5">
        <f t="shared" si="4"/>
        <v>0</v>
      </c>
      <c r="K29" s="5"/>
      <c r="M29" s="7"/>
      <c r="N29" s="7"/>
      <c r="O29" s="5"/>
    </row>
    <row r="30" spans="3:15" x14ac:dyDescent="0.25">
      <c r="C30" t="s">
        <v>30</v>
      </c>
      <c r="E30" s="5"/>
      <c r="F30" s="5"/>
      <c r="G30" s="5"/>
      <c r="H30" s="5"/>
      <c r="I30" s="5"/>
      <c r="J30" s="5">
        <f t="shared" si="4"/>
        <v>0</v>
      </c>
      <c r="K30" s="5">
        <f>54+9+7.38+10.75</f>
        <v>81.13</v>
      </c>
      <c r="M30" s="7"/>
      <c r="N30" s="7"/>
      <c r="O30" s="5"/>
    </row>
    <row r="31" spans="3:15" x14ac:dyDescent="0.25">
      <c r="C31" t="s">
        <v>17</v>
      </c>
      <c r="D31" s="9"/>
      <c r="E31" s="10">
        <v>191.83</v>
      </c>
      <c r="F31" s="5">
        <f t="shared" si="3"/>
        <v>195.47477000000001</v>
      </c>
      <c r="G31" s="10"/>
      <c r="H31" s="10"/>
      <c r="I31" s="10"/>
      <c r="J31" s="5">
        <f t="shared" si="4"/>
        <v>114.02694916666668</v>
      </c>
      <c r="K31" s="10">
        <f>89</f>
        <v>89</v>
      </c>
      <c r="L31" s="11"/>
      <c r="M31" s="7"/>
      <c r="N31" s="7"/>
      <c r="O31" s="5"/>
    </row>
    <row r="32" spans="3:15" x14ac:dyDescent="0.25">
      <c r="D32" s="9"/>
      <c r="E32" s="12"/>
      <c r="F32" s="12"/>
      <c r="G32" s="10"/>
      <c r="H32" s="10"/>
      <c r="I32" s="10"/>
      <c r="J32" s="5"/>
      <c r="K32" s="12"/>
      <c r="L32" s="9"/>
    </row>
    <row r="33" spans="3:12" x14ac:dyDescent="0.25">
      <c r="C33" t="s">
        <v>31</v>
      </c>
      <c r="D33" s="9"/>
      <c r="E33" s="10">
        <f>SUM(E24:E32)</f>
        <v>16709.280000000002</v>
      </c>
      <c r="F33" s="10">
        <f>SUM(F24:F32)</f>
        <v>17026.756319999997</v>
      </c>
      <c r="G33" s="10"/>
      <c r="H33" s="10"/>
      <c r="I33" s="10"/>
      <c r="J33" s="5">
        <f>SUM(J24:J32)</f>
        <v>9932.2745199999972</v>
      </c>
      <c r="K33" s="10">
        <f>SUM(K24:K32)</f>
        <v>11668.179999999998</v>
      </c>
      <c r="L33" s="9"/>
    </row>
    <row r="34" spans="3:12" x14ac:dyDescent="0.25">
      <c r="E34" s="5"/>
      <c r="F34" s="13"/>
      <c r="G34" s="5"/>
      <c r="H34" s="5"/>
      <c r="I34" s="5"/>
      <c r="J34" s="5"/>
      <c r="K34" s="5"/>
    </row>
    <row r="35" spans="3:12" x14ac:dyDescent="0.25">
      <c r="C35" s="14" t="s">
        <v>32</v>
      </c>
      <c r="E35" s="5">
        <f>E21+E33</f>
        <v>27720.940000000002</v>
      </c>
      <c r="F35" s="5">
        <f>F21+F33</f>
        <v>28247.637859999995</v>
      </c>
      <c r="G35" s="5"/>
      <c r="H35" s="5"/>
      <c r="I35" s="5"/>
      <c r="J35" s="5">
        <f>J21+J33</f>
        <v>16477.788751666663</v>
      </c>
      <c r="K35" s="5">
        <f>K21+K33</f>
        <v>25675.239999999998</v>
      </c>
    </row>
    <row r="36" spans="3:12" x14ac:dyDescent="0.25">
      <c r="E36" s="5"/>
      <c r="F36" s="5"/>
      <c r="G36" s="5"/>
      <c r="H36" s="5"/>
      <c r="I36" s="5"/>
      <c r="J36" s="5"/>
      <c r="K36" s="5"/>
    </row>
    <row r="37" spans="3:12" x14ac:dyDescent="0.25">
      <c r="E37" s="5"/>
      <c r="F37" s="5"/>
      <c r="G37" s="5"/>
      <c r="H37" s="5"/>
      <c r="I37" s="5"/>
      <c r="J37" s="5"/>
      <c r="K37" s="5"/>
    </row>
    <row r="38" spans="3:12" x14ac:dyDescent="0.25">
      <c r="E38" s="5"/>
      <c r="F38" s="5"/>
      <c r="G38" s="5"/>
      <c r="H38" s="5"/>
      <c r="I38" s="5"/>
      <c r="J38" s="5"/>
      <c r="K38" s="5"/>
    </row>
    <row r="39" spans="3:12" x14ac:dyDescent="0.25">
      <c r="E39" s="5"/>
      <c r="F39" s="5"/>
      <c r="G39" s="5"/>
      <c r="H39" s="5"/>
      <c r="I39" s="5"/>
      <c r="J39" s="5"/>
      <c r="K39" s="5"/>
    </row>
    <row r="42" spans="3:12" x14ac:dyDescent="0.25">
      <c r="E42" s="15"/>
      <c r="F42" s="15"/>
    </row>
  </sheetData>
  <pageMargins left="0.70866141732283472" right="0.70866141732283472" top="0.74803149606299213" bottom="0.74803149606299213" header="0.31496062992125984" footer="0.31496062992125984"/>
  <pageSetup paperSize="9" scale="93" orientation="landscape" cellComments="asDisplayed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Income</vt:lpstr>
      <vt:lpstr>Cash Book</vt:lpstr>
      <vt:lpstr>Costs</vt:lpstr>
      <vt:lpstr>'Cash Book'!Print_Area</vt:lpstr>
      <vt:lpstr>Costs!Print_Area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2018-09-07T23:18:59Z</dcterms:created>
  <dcterms:modified xsi:type="dcterms:W3CDTF">2018-09-07T23:22:35Z</dcterms:modified>
</cp:coreProperties>
</file>